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sus\Desktop\کتاب\عکس و فایل ها\New folder\"/>
    </mc:Choice>
  </mc:AlternateContent>
  <xr:revisionPtr revIDLastSave="0" documentId="13_ncr:1_{A806AE30-6AEC-459E-836C-3B21AAD6BEC9}" xr6:coauthVersionLast="47" xr6:coauthVersionMax="47" xr10:uidLastSave="{00000000-0000-0000-0000-000000000000}"/>
  <bookViews>
    <workbookView xWindow="-108" yWindow="-108" windowWidth="23256" windowHeight="12456" tabRatio="714" activeTab="4" xr2:uid="{00000000-000D-0000-FFFF-FFFF00000000}"/>
  </bookViews>
  <sheets>
    <sheet name="راهنمای فایل" sheetId="20" r:id="rId1"/>
    <sheet name="منبع " sheetId="4" r:id="rId2"/>
    <sheet name="افزایش روزانه" sheetId="17" state="hidden" r:id="rId3"/>
    <sheet name="افزایش ماهانه" sheetId="19" r:id="rId4"/>
    <sheet name="مهر ماه 1403 " sheetId="18" r:id="rId5"/>
  </sheets>
  <definedNames>
    <definedName name="_xlnm.Print_Area" localSheetId="2">'افزایش روزانه'!$B$1:$I$14</definedName>
    <definedName name="_xlnm.Print_Area" localSheetId="3">'افزایش ماهانه'!$B$1:$L$15</definedName>
    <definedName name="_xlnm.Print_Area" localSheetId="4">'مهر ماه 1403 '!$B$1:$AM$12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" i="18" l="1"/>
  <c r="AA7" i="18"/>
  <c r="S7" i="18"/>
  <c r="G7" i="18"/>
  <c r="F5" i="18"/>
  <c r="O31" i="4"/>
  <c r="O32" i="4" s="1"/>
  <c r="E6" i="19"/>
  <c r="F6" i="19" s="1"/>
  <c r="G12" i="19"/>
  <c r="I12" i="19"/>
  <c r="O12" i="19"/>
  <c r="D12" i="19"/>
  <c r="P11" i="19"/>
  <c r="L11" i="19"/>
  <c r="J11" i="19"/>
  <c r="K11" i="19" s="1"/>
  <c r="E11" i="19"/>
  <c r="H11" i="19" s="1"/>
  <c r="B2" i="18"/>
  <c r="B3" i="18"/>
  <c r="B1" i="18"/>
  <c r="H7" i="18"/>
  <c r="L8" i="18"/>
  <c r="L11" i="18"/>
  <c r="D12" i="18"/>
  <c r="E12" i="18"/>
  <c r="F12" i="18"/>
  <c r="K12" i="18"/>
  <c r="M12" i="18"/>
  <c r="P12" i="18"/>
  <c r="Q12" i="18"/>
  <c r="R12" i="18"/>
  <c r="T12" i="18"/>
  <c r="U12" i="18"/>
  <c r="V12" i="18"/>
  <c r="X12" i="18"/>
  <c r="Y12" i="18"/>
  <c r="Z12" i="18"/>
  <c r="AB12" i="18"/>
  <c r="W8" i="18"/>
  <c r="W9" i="18"/>
  <c r="W10" i="18"/>
  <c r="W11" i="18"/>
  <c r="W7" i="18"/>
  <c r="AA9" i="18"/>
  <c r="AA8" i="18"/>
  <c r="AA10" i="18"/>
  <c r="AA11" i="18"/>
  <c r="H21" i="18"/>
  <c r="H22" i="18" s="1"/>
  <c r="AM12" i="18"/>
  <c r="AN12" i="18"/>
  <c r="S8" i="18"/>
  <c r="S9" i="18"/>
  <c r="S10" i="18"/>
  <c r="S11" i="18"/>
  <c r="M11" i="19" l="1"/>
  <c r="Q11" i="19"/>
  <c r="N11" i="19"/>
  <c r="R11" i="19" s="1"/>
  <c r="F11" i="19"/>
  <c r="AA12" i="18"/>
  <c r="W12" i="18"/>
  <c r="S12" i="18"/>
  <c r="I16" i="18"/>
  <c r="J16" i="18"/>
  <c r="J17" i="18"/>
  <c r="J18" i="18"/>
  <c r="J19" i="18"/>
  <c r="J20" i="18"/>
  <c r="AC9" i="18"/>
  <c r="AC8" i="18"/>
  <c r="AC10" i="18"/>
  <c r="AC11" i="18"/>
  <c r="B1" i="19"/>
  <c r="E7" i="19"/>
  <c r="H7" i="19" s="1"/>
  <c r="E8" i="19"/>
  <c r="H8" i="19" s="1"/>
  <c r="E9" i="19"/>
  <c r="H9" i="19" s="1"/>
  <c r="E10" i="19"/>
  <c r="H10" i="19" s="1"/>
  <c r="B17" i="4"/>
  <c r="B18" i="4"/>
  <c r="P8" i="19"/>
  <c r="A2" i="18"/>
  <c r="A3" i="18"/>
  <c r="A1" i="18"/>
  <c r="H8" i="18"/>
  <c r="E12" i="19" l="1"/>
  <c r="N7" i="18"/>
  <c r="L9" i="18"/>
  <c r="L7" i="18"/>
  <c r="L10" i="18"/>
  <c r="H6" i="19"/>
  <c r="H12" i="19" s="1"/>
  <c r="AC12" i="18"/>
  <c r="N11" i="18"/>
  <c r="N10" i="18"/>
  <c r="N8" i="18"/>
  <c r="I7" i="18"/>
  <c r="N9" i="18"/>
  <c r="I10" i="18"/>
  <c r="I8" i="18"/>
  <c r="J8" i="18"/>
  <c r="J11" i="18"/>
  <c r="J9" i="18"/>
  <c r="J7" i="18"/>
  <c r="J10" i="18"/>
  <c r="I11" i="18"/>
  <c r="I9" i="18"/>
  <c r="H20" i="18"/>
  <c r="H16" i="18"/>
  <c r="AD9" i="18"/>
  <c r="AD12" i="18" s="1"/>
  <c r="AE9" i="18"/>
  <c r="AE12" i="18" s="1"/>
  <c r="AF9" i="18"/>
  <c r="AF12" i="18" s="1"/>
  <c r="H9" i="18"/>
  <c r="H10" i="18"/>
  <c r="H11" i="18"/>
  <c r="P7" i="19"/>
  <c r="P9" i="19"/>
  <c r="P10" i="19"/>
  <c r="P6" i="19"/>
  <c r="J6" i="19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L31" i="4" s="1"/>
  <c r="M31" i="4" s="1"/>
  <c r="K32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3" i="4"/>
  <c r="L7" i="19"/>
  <c r="L8" i="19"/>
  <c r="L9" i="19"/>
  <c r="L10" i="19"/>
  <c r="L6" i="19"/>
  <c r="L12" i="19" s="1"/>
  <c r="J7" i="19"/>
  <c r="K7" i="19" s="1"/>
  <c r="J8" i="19"/>
  <c r="K8" i="19" s="1"/>
  <c r="J9" i="19"/>
  <c r="K9" i="19" s="1"/>
  <c r="J10" i="19"/>
  <c r="K10" i="19" s="1"/>
  <c r="P12" i="19" l="1"/>
  <c r="Q6" i="19"/>
  <c r="L12" i="18"/>
  <c r="K6" i="19"/>
  <c r="J12" i="19"/>
  <c r="N12" i="18"/>
  <c r="H12" i="18"/>
  <c r="J12" i="18"/>
  <c r="I12" i="18"/>
  <c r="O7" i="18"/>
  <c r="AG7" i="18" s="1"/>
  <c r="H19" i="18"/>
  <c r="H18" i="18"/>
  <c r="H17" i="18"/>
  <c r="D20" i="18"/>
  <c r="I20" i="18" s="1"/>
  <c r="Q10" i="19"/>
  <c r="Q12" i="19" s="1"/>
  <c r="Q7" i="19"/>
  <c r="Q8" i="19"/>
  <c r="Q9" i="19"/>
  <c r="G6" i="17"/>
  <c r="H6" i="17" s="1"/>
  <c r="G7" i="17"/>
  <c r="H7" i="17" s="1"/>
  <c r="I6" i="17"/>
  <c r="E11" i="17"/>
  <c r="K11" i="17"/>
  <c r="I7" i="17"/>
  <c r="I8" i="17"/>
  <c r="I9" i="17"/>
  <c r="I10" i="17"/>
  <c r="F11" i="17"/>
  <c r="G8" i="17"/>
  <c r="H8" i="17" s="1"/>
  <c r="G9" i="17"/>
  <c r="H9" i="17" s="1"/>
  <c r="G10" i="17"/>
  <c r="H10" i="17" s="1"/>
  <c r="D19" i="18"/>
  <c r="I19" i="18" s="1"/>
  <c r="D18" i="18"/>
  <c r="I18" i="18" s="1"/>
  <c r="D17" i="18"/>
  <c r="I17" i="18" s="1"/>
  <c r="F16" i="18"/>
  <c r="G16" i="18" s="1"/>
  <c r="G11" i="18"/>
  <c r="O11" i="18" s="1"/>
  <c r="G10" i="18"/>
  <c r="O10" i="18" s="1"/>
  <c r="G9" i="18"/>
  <c r="G8" i="18"/>
  <c r="K12" i="19" l="1"/>
  <c r="M6" i="19"/>
  <c r="N6" i="19" s="1"/>
  <c r="R6" i="19" s="1"/>
  <c r="G12" i="18"/>
  <c r="O9" i="18"/>
  <c r="O8" i="18"/>
  <c r="J9" i="17"/>
  <c r="L9" i="17" s="1"/>
  <c r="F18" i="18"/>
  <c r="K18" i="18"/>
  <c r="F17" i="18"/>
  <c r="G17" i="18" s="1"/>
  <c r="K17" i="18"/>
  <c r="F19" i="18"/>
  <c r="K19" i="18"/>
  <c r="F20" i="18"/>
  <c r="K20" i="18"/>
  <c r="F9" i="19"/>
  <c r="F10" i="19"/>
  <c r="F7" i="19"/>
  <c r="F8" i="19"/>
  <c r="J8" i="17"/>
  <c r="L8" i="17" s="1"/>
  <c r="J10" i="17"/>
  <c r="L10" i="17" s="1"/>
  <c r="K16" i="18"/>
  <c r="L16" i="18" s="1"/>
  <c r="M10" i="19"/>
  <c r="M8" i="19"/>
  <c r="M9" i="19"/>
  <c r="M7" i="19"/>
  <c r="H11" i="17"/>
  <c r="J6" i="17"/>
  <c r="I11" i="17"/>
  <c r="J7" i="17"/>
  <c r="M12" i="19" l="1"/>
  <c r="F12" i="19"/>
  <c r="O12" i="18"/>
  <c r="AH7" i="18"/>
  <c r="AK7" i="18" s="1"/>
  <c r="N8" i="19"/>
  <c r="R8" i="19" s="1"/>
  <c r="N10" i="19"/>
  <c r="N7" i="19"/>
  <c r="R7" i="19" s="1"/>
  <c r="N9" i="19"/>
  <c r="R9" i="19" s="1"/>
  <c r="AG8" i="18"/>
  <c r="L17" i="18"/>
  <c r="L18" i="18" s="1"/>
  <c r="L19" i="18" s="1"/>
  <c r="L20" i="18" s="1"/>
  <c r="AG10" i="18"/>
  <c r="AG9" i="18"/>
  <c r="AG11" i="18"/>
  <c r="G18" i="18"/>
  <c r="J11" i="17"/>
  <c r="L6" i="17"/>
  <c r="L7" i="17"/>
  <c r="N12" i="19" l="1"/>
  <c r="AH11" i="18"/>
  <c r="AH8" i="18"/>
  <c r="AH9" i="18"/>
  <c r="AH10" i="18"/>
  <c r="AG12" i="18"/>
  <c r="R10" i="19"/>
  <c r="R12" i="19" s="1"/>
  <c r="AO7" i="18"/>
  <c r="G19" i="18"/>
  <c r="L11" i="17"/>
  <c r="AH12" i="18" l="1"/>
  <c r="AO8" i="18"/>
  <c r="AI7" i="18"/>
  <c r="AJ7" i="18" s="1"/>
  <c r="AP8" i="18"/>
  <c r="AK8" i="18"/>
  <c r="AO11" i="18"/>
  <c r="AK11" i="18"/>
  <c r="AP11" i="18"/>
  <c r="AP10" i="18"/>
  <c r="AK10" i="18"/>
  <c r="AO10" i="18"/>
  <c r="AP7" i="18"/>
  <c r="AQ7" i="18" s="1"/>
  <c r="G20" i="18"/>
  <c r="AL7" i="18" l="1"/>
  <c r="AR7" i="18" s="1"/>
  <c r="AI8" i="18"/>
  <c r="AJ8" i="18" s="1"/>
  <c r="AI11" i="18"/>
  <c r="AJ11" i="18" s="1"/>
  <c r="AI10" i="18"/>
  <c r="AJ10" i="18" s="1"/>
  <c r="AQ8" i="18"/>
  <c r="AK9" i="18"/>
  <c r="AK12" i="18" s="1"/>
  <c r="AO9" i="18"/>
  <c r="AO12" i="18" s="1"/>
  <c r="AP9" i="18"/>
  <c r="AP12" i="18" s="1"/>
  <c r="AQ11" i="18"/>
  <c r="AQ10" i="18"/>
  <c r="AL10" i="18" l="1"/>
  <c r="AR10" i="18" s="1"/>
  <c r="AL11" i="18"/>
  <c r="AR11" i="18" s="1"/>
  <c r="AL8" i="18"/>
  <c r="AR8" i="18" s="1"/>
  <c r="AI9" i="18"/>
  <c r="AQ9" i="18"/>
  <c r="AQ12" i="18" s="1"/>
  <c r="AJ9" i="18" l="1"/>
  <c r="AJ12" i="18" s="1"/>
  <c r="AI12" i="18"/>
  <c r="AL9" i="18" l="1"/>
  <c r="AR9" i="18" s="1"/>
  <c r="AR12" i="18" s="1"/>
  <c r="AL12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6" authorId="0" shapeId="0" xr:uid="{816E4370-326C-4FE2-BCC5-79A01877F49B}">
      <text>
        <r>
          <rPr>
            <b/>
            <sz val="9"/>
            <color indexed="81"/>
            <rFont val="Tahoma"/>
            <family val="2"/>
          </rPr>
          <t>Nekouie:</t>
        </r>
        <r>
          <rPr>
            <sz val="9"/>
            <color indexed="81"/>
            <rFont val="Tahoma"/>
            <family val="2"/>
          </rPr>
          <t xml:space="preserve">
از جدول افزایش ماهانه تکمیل میشود</t>
        </r>
      </text>
    </comment>
    <comment ref="E6" authorId="0" shapeId="0" xr:uid="{3926EBA9-3741-4DD8-AC32-4EC7F7749A23}">
      <text>
        <r>
          <rPr>
            <b/>
            <sz val="9"/>
            <color indexed="81"/>
            <rFont val="Tahoma"/>
            <family val="2"/>
          </rPr>
          <t>Nekouie:
از جدول افزایش ماهانه تکمیل میشود</t>
        </r>
      </text>
    </comment>
  </commentList>
</comments>
</file>

<file path=xl/sharedStrings.xml><?xml version="1.0" encoding="utf-8"?>
<sst xmlns="http://schemas.openxmlformats.org/spreadsheetml/2006/main" count="196" uniqueCount="128">
  <si>
    <t>ردیف</t>
  </si>
  <si>
    <t>نام و نام خانوادگي</t>
  </si>
  <si>
    <t>جمع حقوق و مزایای مستمر</t>
  </si>
  <si>
    <t>مزایای غیر مستمر</t>
  </si>
  <si>
    <t>جمع كل حقوق و مزايا</t>
  </si>
  <si>
    <t>حقوق و مزایای مشمول</t>
  </si>
  <si>
    <t xml:space="preserve">بيمه تامين اجتماعي </t>
  </si>
  <si>
    <t>حق مسكن</t>
  </si>
  <si>
    <t>حق خواروبار</t>
  </si>
  <si>
    <t>حق اولاد</t>
  </si>
  <si>
    <t>جمع</t>
  </si>
  <si>
    <t>ساعت اضافه کاری</t>
  </si>
  <si>
    <t>مالیات</t>
  </si>
  <si>
    <t>ماليات</t>
  </si>
  <si>
    <t>بيمه 20% سهم كارفرما</t>
  </si>
  <si>
    <t>بيمه 3% بيكاري</t>
  </si>
  <si>
    <t>جمع 30% بیمه</t>
  </si>
  <si>
    <t xml:space="preserve"> تا مبلغ</t>
  </si>
  <si>
    <t>مبلغ</t>
  </si>
  <si>
    <t>نرخ</t>
  </si>
  <si>
    <t>جمع مالیات</t>
  </si>
  <si>
    <t>:</t>
  </si>
  <si>
    <t xml:space="preserve"> </t>
  </si>
  <si>
    <t>خرداد</t>
  </si>
  <si>
    <t>مرداد</t>
  </si>
  <si>
    <t>مهر</t>
  </si>
  <si>
    <t>آبان</t>
  </si>
  <si>
    <t>آذر</t>
  </si>
  <si>
    <t xml:space="preserve">شماره پرسنلی </t>
  </si>
  <si>
    <t xml:space="preserve">حق نهار </t>
  </si>
  <si>
    <t xml:space="preserve">تلفن همراه </t>
  </si>
  <si>
    <t>خالص قابل پرداخت</t>
  </si>
  <si>
    <t>مبلغ قرارداد روزانه</t>
  </si>
  <si>
    <t>مشمول بیمه</t>
  </si>
  <si>
    <t>مشمول مالیات</t>
  </si>
  <si>
    <t>مبلغ تعطیل كاري</t>
  </si>
  <si>
    <t>ساعت تعطیل کاری</t>
  </si>
  <si>
    <t>سال 1402</t>
  </si>
  <si>
    <t>مبلغ قرارداد روزانه 1401</t>
  </si>
  <si>
    <t>نوع</t>
  </si>
  <si>
    <t>حداقل حقوق</t>
  </si>
  <si>
    <t>سایر سطوح</t>
  </si>
  <si>
    <t>پایه سنوات</t>
  </si>
  <si>
    <t>درصد افزایش</t>
  </si>
  <si>
    <t>افزایش ثابت</t>
  </si>
  <si>
    <t>علی محمدی</t>
  </si>
  <si>
    <t>رضا تقوی</t>
  </si>
  <si>
    <t>سعید علوی</t>
  </si>
  <si>
    <t>شاهین تقوی</t>
  </si>
  <si>
    <t>امید کریمی</t>
  </si>
  <si>
    <t>پایه حقوق 1402</t>
  </si>
  <si>
    <t>حقوق + پایه سنوات</t>
  </si>
  <si>
    <t xml:space="preserve"> محاسبات افزایش حقوق و دستمزد کارکنان روزانه</t>
  </si>
  <si>
    <t>شرکت صنایع نفت ایران</t>
  </si>
  <si>
    <t>مبلغ پس از افزایش</t>
  </si>
  <si>
    <t xml:space="preserve"> محاسبات افزایش حقوق و دستمزد کارکنان ماهیانه</t>
  </si>
  <si>
    <t>حقوق پایه + پایه سنوات</t>
  </si>
  <si>
    <t>ایاب و ذهاب</t>
  </si>
  <si>
    <t xml:space="preserve">الف </t>
  </si>
  <si>
    <t>ب</t>
  </si>
  <si>
    <t>ج</t>
  </si>
  <si>
    <t>د</t>
  </si>
  <si>
    <t>ه</t>
  </si>
  <si>
    <t>مبلغ قرارداد روزانه 1402</t>
  </si>
  <si>
    <t>مبلغ قرارداد ماهیانه 1402</t>
  </si>
  <si>
    <t>سال 1403</t>
  </si>
  <si>
    <t>ماه</t>
  </si>
  <si>
    <t>تعداد روز</t>
  </si>
  <si>
    <t>ساعت موظفی</t>
  </si>
  <si>
    <t>متاهل</t>
  </si>
  <si>
    <t>فروردین</t>
  </si>
  <si>
    <t>مجرد</t>
  </si>
  <si>
    <t>اردیبهشت</t>
  </si>
  <si>
    <t>تیر</t>
  </si>
  <si>
    <t>شهریور</t>
  </si>
  <si>
    <t>دی</t>
  </si>
  <si>
    <t>بهمن</t>
  </si>
  <si>
    <t>اسفند</t>
  </si>
  <si>
    <t>شماره ماه</t>
  </si>
  <si>
    <t>پایه سنوات رزوانه</t>
  </si>
  <si>
    <t>برخی از موارد انتخابی هستند فلذا امکان وارد کردن اطلاعات به صورت دستی وجود ندارد ، لیست کشویی را باز کرده و از موارد مذکور انتخاب فرمائید .</t>
  </si>
  <si>
    <t>در شیت افزایش ماهانه و همچنین حقوق هر ماه فقط سلول هایی که سفید رنگ هستند را پر کنید .</t>
  </si>
  <si>
    <t>در شیت منبع هیچ گونه تغییری ندهید و اطلاعاتی را وارد نکنید و از جابجا کردن هر یک از سلول ها و ستون ها بپرهیزید.</t>
  </si>
  <si>
    <t>جدول مالیاتی سال 1403 - ماهانه</t>
  </si>
  <si>
    <t>جدول مالیاتی سال 1403 - سالانه</t>
  </si>
  <si>
    <t>ماهیانه</t>
  </si>
  <si>
    <t>افزایش سالانه سال بعد</t>
  </si>
  <si>
    <t>پایه حقوق روزانه 1403</t>
  </si>
  <si>
    <t>پایه حقوق ماهیانه 1403</t>
  </si>
  <si>
    <t>حقوق مبنا</t>
  </si>
  <si>
    <t>حقوق پایه</t>
  </si>
  <si>
    <t>پایه سنوات روزانه</t>
  </si>
  <si>
    <t xml:space="preserve">سال </t>
  </si>
  <si>
    <t>تعداد سال</t>
  </si>
  <si>
    <t>حق تاهل</t>
  </si>
  <si>
    <t>مجرد
متاهل</t>
  </si>
  <si>
    <t>دو هفتم</t>
  </si>
  <si>
    <t>هفت هفتم</t>
  </si>
  <si>
    <t>ساعت شب کاری</t>
  </si>
  <si>
    <t>مبلغ شب كاري</t>
  </si>
  <si>
    <t>نوع لیست ؟</t>
  </si>
  <si>
    <t>نام شرکت ؟</t>
  </si>
  <si>
    <t>ماه مورد نظر ؟</t>
  </si>
  <si>
    <t>پایه سنوات ماهانه</t>
  </si>
  <si>
    <t>اضافه کاری</t>
  </si>
  <si>
    <t>حق ماموریت</t>
  </si>
  <si>
    <t>حداقل حقوق 1403</t>
  </si>
  <si>
    <t>جهت محاسبه حقوق سال 1403 ، ابتدا از شیت افزایش ماهانه استفاده کنید .</t>
  </si>
  <si>
    <t>در ستون F کارکرد هر کارمند در آن ماه ذکر شود .</t>
  </si>
  <si>
    <t>توضیحات</t>
  </si>
  <si>
    <t xml:space="preserve">این اطلاعات تکمیل شود </t>
  </si>
  <si>
    <t>اگر شخصی در سال 1402 ، حداقل حقوق را دریافت نمیکرد ، باید گزینه سایر سطوح را انتخاب کند.</t>
  </si>
  <si>
    <t>میزان سابقه در همان کارگاه</t>
  </si>
  <si>
    <t>مساعده</t>
  </si>
  <si>
    <t xml:space="preserve">اقساط وام </t>
  </si>
  <si>
    <t>اطلاعات اولیه</t>
  </si>
  <si>
    <t>بيمه 7% سهم کارگر</t>
  </si>
  <si>
    <t xml:space="preserve">کسورات </t>
  </si>
  <si>
    <t>مزایای مستمر به تبع شاغل</t>
  </si>
  <si>
    <t>مزایای ثابت به تبع شغل روزانه</t>
  </si>
  <si>
    <t>مزایای ثابت به تبع شغل ماهیانه</t>
  </si>
  <si>
    <t>تعداد فرزند مشمول</t>
  </si>
  <si>
    <t>روز ماموریت</t>
  </si>
  <si>
    <t>و</t>
  </si>
  <si>
    <t>لیست حقوق و دستمزد</t>
  </si>
  <si>
    <t>نخبه حساب</t>
  </si>
  <si>
    <t>آبان ماه 1403</t>
  </si>
  <si>
    <t>برای محاسبه حقوق سال 1403 ، ماه آبان را انتخاب کنید که 30 روزه است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</si>
</sst>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_-* #,##0.00\-;_-* &quot;-&quot;??_-;_-@_-"/>
    <numFmt numFmtId="165" formatCode="_-* #,##0_-;_-* #,##0\-;_-* &quot;-&quot;??_-;_-@_-"/>
    <numFmt numFmtId="166" formatCode="_(* #,##0.0000_);_(* \(#,##0.0000\);_(* &quot;-&quot;??_);_(@_)"/>
  </numFmts>
  <fonts count="33" x14ac:knownFonts="1">
    <font>
      <sz val="11"/>
      <color indexed="8"/>
      <name val="Arial"/>
      <family val="2"/>
      <charset val="178"/>
    </font>
    <font>
      <sz val="11"/>
      <color theme="1"/>
      <name val="Calibri"/>
      <family val="2"/>
      <charset val="178"/>
      <scheme val="minor"/>
    </font>
    <font>
      <sz val="18"/>
      <color theme="3"/>
      <name val="Calibri Light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1"/>
      <color indexed="8"/>
      <name val="Arial"/>
      <family val="2"/>
      <charset val="178"/>
    </font>
    <font>
      <b/>
      <sz val="14"/>
      <color indexed="8"/>
      <name val="B Nazanin"/>
      <charset val="178"/>
    </font>
    <font>
      <sz val="12"/>
      <color indexed="8"/>
      <name val="B Nazanin"/>
      <charset val="178"/>
    </font>
    <font>
      <b/>
      <sz val="12"/>
      <color indexed="8"/>
      <name val="B Nazanin"/>
      <charset val="178"/>
    </font>
    <font>
      <b/>
      <sz val="18"/>
      <color indexed="8"/>
      <name val="B Nazanin"/>
      <charset val="178"/>
    </font>
    <font>
      <sz val="8"/>
      <name val="Arial"/>
      <family val="2"/>
      <charset val="178"/>
    </font>
    <font>
      <sz val="12"/>
      <color theme="1"/>
      <name val="B Nazanin"/>
      <charset val="178"/>
    </font>
    <font>
      <sz val="11"/>
      <color theme="1"/>
      <name val="B Nazanin"/>
      <charset val="178"/>
    </font>
    <font>
      <sz val="11"/>
      <color indexed="8"/>
      <name val="B Nazanin"/>
      <charset val="178"/>
    </font>
    <font>
      <sz val="14"/>
      <color indexed="8"/>
      <name val="B Nazanin"/>
      <charset val="178"/>
    </font>
    <font>
      <b/>
      <sz val="11"/>
      <color theme="1"/>
      <name val="B Nazanin"/>
      <charset val="17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0"/>
      <color theme="0"/>
      <name val="B Nazanin"/>
      <charset val="178"/>
    </font>
    <font>
      <b/>
      <sz val="9"/>
      <color indexed="8"/>
      <name val="B Nazanin"/>
      <charset val="178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CF5E7"/>
        <bgColor indexed="64"/>
      </patternFill>
    </fill>
    <fill>
      <patternFill patternType="solid">
        <fgColor rgb="FFEFFA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double">
        <color theme="4"/>
      </bottom>
      <diagonal/>
    </border>
    <border>
      <left style="medium">
        <color indexed="64"/>
      </left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8" fillId="0" borderId="0" applyFont="0" applyFill="0" applyBorder="0" applyAlignment="0" applyProtection="0"/>
  </cellStyleXfs>
  <cellXfs count="114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5" fontId="20" fillId="0" borderId="10" xfId="1" applyNumberFormat="1" applyFont="1" applyFill="1" applyBorder="1" applyAlignment="1" applyProtection="1">
      <alignment vertical="center"/>
    </xf>
    <xf numFmtId="165" fontId="20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165" fontId="19" fillId="0" borderId="0" xfId="1" applyNumberFormat="1" applyFont="1" applyFill="1" applyBorder="1" applyAlignment="1">
      <alignment horizontal="center" vertical="center"/>
    </xf>
    <xf numFmtId="9" fontId="20" fillId="35" borderId="10" xfId="43" applyFont="1" applyFill="1" applyBorder="1" applyAlignment="1" applyProtection="1">
      <alignment horizontal="center" vertical="center"/>
    </xf>
    <xf numFmtId="165" fontId="20" fillId="35" borderId="10" xfId="1" applyNumberFormat="1" applyFont="1" applyFill="1" applyBorder="1" applyAlignment="1" applyProtection="1">
      <alignment vertical="center"/>
    </xf>
    <xf numFmtId="0" fontId="20" fillId="0" borderId="12" xfId="0" applyFont="1" applyBorder="1" applyAlignment="1">
      <alignment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165" fontId="21" fillId="34" borderId="11" xfId="1" applyNumberFormat="1" applyFont="1" applyFill="1" applyBorder="1" applyAlignment="1" applyProtection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vertical="center"/>
    </xf>
    <xf numFmtId="165" fontId="21" fillId="34" borderId="10" xfId="1" applyNumberFormat="1" applyFont="1" applyFill="1" applyBorder="1" applyAlignment="1" applyProtection="1">
      <alignment vertical="center"/>
    </xf>
    <xf numFmtId="165" fontId="20" fillId="0" borderId="0" xfId="1" applyNumberFormat="1" applyFont="1" applyAlignment="1">
      <alignment horizontal="center" vertical="center"/>
    </xf>
    <xf numFmtId="0" fontId="27" fillId="0" borderId="0" xfId="0" applyFont="1" applyAlignment="1">
      <alignment horizontal="right" vertical="center" readingOrder="2"/>
    </xf>
    <xf numFmtId="2" fontId="27" fillId="0" borderId="0" xfId="0" applyNumberFormat="1" applyFont="1" applyAlignment="1">
      <alignment horizontal="right" vertical="center" readingOrder="2"/>
    </xf>
    <xf numFmtId="165" fontId="27" fillId="0" borderId="0" xfId="1" applyNumberFormat="1" applyFont="1" applyFill="1" applyAlignment="1">
      <alignment horizontal="right" vertical="center" readingOrder="2"/>
    </xf>
    <xf numFmtId="166" fontId="27" fillId="0" borderId="0" xfId="0" applyNumberFormat="1" applyFont="1" applyAlignment="1">
      <alignment horizontal="right" vertical="center" readingOrder="2"/>
    </xf>
    <xf numFmtId="0" fontId="21" fillId="39" borderId="13" xfId="0" applyFont="1" applyFill="1" applyBorder="1" applyAlignment="1">
      <alignment horizontal="center" vertical="center"/>
    </xf>
    <xf numFmtId="165" fontId="21" fillId="38" borderId="10" xfId="1" applyNumberFormat="1" applyFont="1" applyFill="1" applyBorder="1" applyAlignment="1" applyProtection="1">
      <alignment horizontal="center" vertical="center" wrapText="1"/>
    </xf>
    <xf numFmtId="165" fontId="21" fillId="38" borderId="12" xfId="1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horizontal="center" vertical="center" readingOrder="2"/>
    </xf>
    <xf numFmtId="0" fontId="20" fillId="0" borderId="0" xfId="0" applyFont="1" applyAlignment="1">
      <alignment horizontal="center" vertical="center" readingOrder="2"/>
    </xf>
    <xf numFmtId="165" fontId="26" fillId="0" borderId="0" xfId="1" applyNumberFormat="1" applyFont="1" applyFill="1" applyAlignment="1">
      <alignment horizontal="center" vertical="center" readingOrder="2"/>
    </xf>
    <xf numFmtId="9" fontId="26" fillId="0" borderId="0" xfId="43" applyFont="1" applyFill="1" applyAlignment="1">
      <alignment horizontal="center" vertical="center" readingOrder="2"/>
    </xf>
    <xf numFmtId="9" fontId="20" fillId="0" borderId="0" xfId="43" applyFont="1" applyFill="1" applyAlignment="1">
      <alignment horizontal="center" vertical="center" readingOrder="2"/>
    </xf>
    <xf numFmtId="165" fontId="21" fillId="36" borderId="11" xfId="1" applyNumberFormat="1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>
      <alignment vertical="center"/>
    </xf>
    <xf numFmtId="165" fontId="21" fillId="36" borderId="10" xfId="1" applyNumberFormat="1" applyFont="1" applyFill="1" applyBorder="1" applyAlignment="1" applyProtection="1">
      <alignment vertic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0" xfId="0" applyFont="1" applyFill="1" applyBorder="1" applyAlignment="1">
      <alignment horizontal="center" vertical="center"/>
    </xf>
    <xf numFmtId="38" fontId="20" fillId="39" borderId="10" xfId="1" applyNumberFormat="1" applyFont="1" applyFill="1" applyBorder="1" applyAlignment="1" applyProtection="1">
      <alignment horizontal="center" vertical="center"/>
    </xf>
    <xf numFmtId="37" fontId="20" fillId="33" borderId="14" xfId="1" applyNumberFormat="1" applyFont="1" applyFill="1" applyBorder="1" applyAlignment="1" applyProtection="1">
      <alignment vertical="center" wrapText="1"/>
    </xf>
    <xf numFmtId="37" fontId="20" fillId="35" borderId="10" xfId="1" applyNumberFormat="1" applyFont="1" applyFill="1" applyBorder="1" applyAlignment="1" applyProtection="1">
      <alignment horizontal="center" vertical="center" wrapText="1"/>
    </xf>
    <xf numFmtId="37" fontId="20" fillId="33" borderId="10" xfId="1" applyNumberFormat="1" applyFont="1" applyFill="1" applyBorder="1" applyAlignment="1" applyProtection="1">
      <alignment horizontal="center" vertical="center" wrapText="1"/>
    </xf>
    <xf numFmtId="37" fontId="20" fillId="33" borderId="12" xfId="1" applyNumberFormat="1" applyFont="1" applyFill="1" applyBorder="1" applyAlignment="1" applyProtection="1">
      <alignment horizontal="center" vertical="center" wrapText="1"/>
    </xf>
    <xf numFmtId="37" fontId="20" fillId="0" borderId="10" xfId="1" applyNumberFormat="1" applyFont="1" applyFill="1" applyBorder="1" applyAlignment="1" applyProtection="1">
      <alignment vertical="center"/>
    </xf>
    <xf numFmtId="0" fontId="28" fillId="0" borderId="17" xfId="18" applyFont="1" applyBorder="1" applyAlignment="1">
      <alignment horizontal="right" vertical="center" readingOrder="2"/>
    </xf>
    <xf numFmtId="0" fontId="28" fillId="0" borderId="18" xfId="18" applyFont="1" applyBorder="1" applyAlignment="1">
      <alignment horizontal="right" vertical="center" readingOrder="2"/>
    </xf>
    <xf numFmtId="0" fontId="28" fillId="0" borderId="19" xfId="18" applyFont="1" applyBorder="1" applyAlignment="1">
      <alignment horizontal="right" vertical="center" readingOrder="2"/>
    </xf>
    <xf numFmtId="0" fontId="28" fillId="0" borderId="20" xfId="18" applyFont="1" applyBorder="1" applyAlignment="1">
      <alignment horizontal="right" vertical="center" readingOrder="2"/>
    </xf>
    <xf numFmtId="0" fontId="28" fillId="0" borderId="21" xfId="18" applyFont="1" applyBorder="1" applyAlignment="1">
      <alignment horizontal="right" vertical="center" readingOrder="2"/>
    </xf>
    <xf numFmtId="0" fontId="28" fillId="0" borderId="22" xfId="18" applyFont="1" applyBorder="1" applyAlignment="1">
      <alignment horizontal="right" vertical="center" readingOrder="2"/>
    </xf>
    <xf numFmtId="0" fontId="27" fillId="35" borderId="10" xfId="0" applyFont="1" applyFill="1" applyBorder="1" applyAlignment="1">
      <alignment horizontal="right" vertical="center" readingOrder="2"/>
    </xf>
    <xf numFmtId="0" fontId="27" fillId="40" borderId="13" xfId="0" applyFont="1" applyFill="1" applyBorder="1" applyAlignment="1">
      <alignment horizontal="right" vertical="center" readingOrder="2"/>
    </xf>
    <xf numFmtId="0" fontId="27" fillId="40" borderId="15" xfId="0" applyFont="1" applyFill="1" applyBorder="1" applyAlignment="1">
      <alignment horizontal="right" vertical="center" readingOrder="2"/>
    </xf>
    <xf numFmtId="0" fontId="27" fillId="40" borderId="14" xfId="0" applyFont="1" applyFill="1" applyBorder="1" applyAlignment="1">
      <alignment horizontal="right" vertical="center" readingOrder="2"/>
    </xf>
    <xf numFmtId="165" fontId="22" fillId="0" borderId="0" xfId="1" applyNumberFormat="1" applyFont="1" applyFill="1" applyBorder="1" applyAlignment="1">
      <alignment vertical="center"/>
    </xf>
    <xf numFmtId="165" fontId="19" fillId="0" borderId="24" xfId="1" applyNumberFormat="1" applyFont="1" applyFill="1" applyBorder="1" applyAlignment="1">
      <alignment horizontal="center" vertical="center"/>
    </xf>
    <xf numFmtId="165" fontId="19" fillId="0" borderId="25" xfId="1" applyNumberFormat="1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center" vertical="center" wrapText="1" readingOrder="2"/>
    </xf>
    <xf numFmtId="165" fontId="21" fillId="38" borderId="10" xfId="1" applyNumberFormat="1" applyFont="1" applyFill="1" applyBorder="1" applyAlignment="1" applyProtection="1">
      <alignment horizontal="center" vertical="center" wrapText="1" readingOrder="2"/>
    </xf>
    <xf numFmtId="165" fontId="19" fillId="0" borderId="16" xfId="1" applyNumberFormat="1" applyFont="1" applyFill="1" applyBorder="1" applyAlignment="1">
      <alignment horizontal="center" vertical="center"/>
    </xf>
    <xf numFmtId="38" fontId="20" fillId="0" borderId="0" xfId="0" applyNumberFormat="1" applyFont="1" applyAlignment="1">
      <alignment vertical="center"/>
    </xf>
    <xf numFmtId="165" fontId="32" fillId="38" borderId="10" xfId="1" applyNumberFormat="1" applyFont="1" applyFill="1" applyBorder="1" applyAlignment="1" applyProtection="1">
      <alignment horizontal="center" vertical="center" wrapText="1"/>
    </xf>
    <xf numFmtId="165" fontId="32" fillId="38" borderId="14" xfId="1" applyNumberFormat="1" applyFont="1" applyFill="1" applyBorder="1" applyAlignment="1" applyProtection="1">
      <alignment horizontal="center" vertical="center" wrapText="1"/>
    </xf>
    <xf numFmtId="9" fontId="19" fillId="0" borderId="0" xfId="43" applyFont="1" applyFill="1" applyBorder="1" applyAlignment="1">
      <alignment horizontal="center" vertical="center"/>
    </xf>
    <xf numFmtId="165" fontId="24" fillId="0" borderId="10" xfId="1" applyNumberFormat="1" applyFont="1" applyFill="1" applyBorder="1" applyAlignment="1" applyProtection="1">
      <alignment horizontal="center" vertical="center"/>
      <protection locked="0"/>
    </xf>
    <xf numFmtId="38" fontId="24" fillId="0" borderId="10" xfId="1" applyNumberFormat="1" applyFont="1" applyFill="1" applyBorder="1" applyAlignment="1" applyProtection="1">
      <alignment horizontal="center" vertical="center"/>
      <protection locked="0"/>
    </xf>
    <xf numFmtId="38" fontId="20" fillId="0" borderId="10" xfId="1" applyNumberFormat="1" applyFont="1" applyFill="1" applyBorder="1" applyAlignment="1" applyProtection="1">
      <alignment vertical="center"/>
      <protection locked="0"/>
    </xf>
    <xf numFmtId="165" fontId="25" fillId="0" borderId="10" xfId="1" applyNumberFormat="1" applyFont="1" applyFill="1" applyBorder="1" applyAlignment="1" applyProtection="1">
      <alignment horizontal="center" vertical="center"/>
      <protection locked="0"/>
    </xf>
    <xf numFmtId="165" fontId="21" fillId="37" borderId="11" xfId="1" applyNumberFormat="1" applyFont="1" applyFill="1" applyBorder="1" applyAlignment="1" applyProtection="1">
      <alignment horizontal="center" vertical="center" wrapText="1"/>
      <protection locked="0"/>
    </xf>
    <xf numFmtId="38" fontId="20" fillId="0" borderId="10" xfId="1" applyNumberFormat="1" applyFont="1" applyFill="1" applyBorder="1" applyAlignment="1" applyProtection="1">
      <alignment horizontal="left" vertical="center"/>
      <protection locked="0"/>
    </xf>
    <xf numFmtId="165" fontId="21" fillId="0" borderId="10" xfId="1" applyNumberFormat="1" applyFont="1" applyFill="1" applyBorder="1" applyAlignment="1" applyProtection="1">
      <alignment horizontal="center" vertical="center" wrapText="1"/>
      <protection locked="0"/>
    </xf>
    <xf numFmtId="38" fontId="20" fillId="39" borderId="10" xfId="1" applyNumberFormat="1" applyFont="1" applyFill="1" applyBorder="1" applyAlignment="1" applyProtection="1">
      <alignment horizontal="center" vertical="center"/>
      <protection locked="0"/>
    </xf>
    <xf numFmtId="38" fontId="20" fillId="37" borderId="10" xfId="1" applyNumberFormat="1" applyFont="1" applyFill="1" applyBorder="1" applyAlignment="1" applyProtection="1">
      <alignment vertical="center"/>
      <protection locked="0"/>
    </xf>
    <xf numFmtId="165" fontId="21" fillId="37" borderId="12" xfId="1" applyNumberFormat="1" applyFont="1" applyFill="1" applyBorder="1" applyAlignment="1" applyProtection="1">
      <alignment horizontal="center" vertical="center" wrapText="1" readingOrder="2"/>
      <protection locked="0"/>
    </xf>
    <xf numFmtId="165" fontId="21" fillId="0" borderId="11" xfId="1" applyNumberFormat="1" applyFont="1" applyFill="1" applyBorder="1" applyAlignment="1" applyProtection="1">
      <alignment horizontal="center" vertical="center"/>
      <protection locked="0"/>
    </xf>
    <xf numFmtId="165" fontId="20" fillId="0" borderId="10" xfId="1" applyNumberFormat="1" applyFont="1" applyFill="1" applyBorder="1" applyAlignment="1" applyProtection="1">
      <alignment vertical="center"/>
      <protection locked="0"/>
    </xf>
    <xf numFmtId="0" fontId="20" fillId="0" borderId="10" xfId="1" applyNumberFormat="1" applyFont="1" applyFill="1" applyBorder="1" applyAlignment="1" applyProtection="1">
      <alignment vertical="center"/>
      <protection locked="0"/>
    </xf>
    <xf numFmtId="38" fontId="20" fillId="39" borderId="10" xfId="1" applyNumberFormat="1" applyFont="1" applyFill="1" applyBorder="1" applyAlignment="1" applyProtection="1">
      <alignment vertical="center"/>
      <protection hidden="1"/>
    </xf>
    <xf numFmtId="0" fontId="21" fillId="38" borderId="10" xfId="0" applyFont="1" applyFill="1" applyBorder="1" applyAlignment="1" applyProtection="1">
      <alignment vertical="center"/>
      <protection hidden="1"/>
    </xf>
    <xf numFmtId="165" fontId="21" fillId="38" borderId="10" xfId="1" applyNumberFormat="1" applyFont="1" applyFill="1" applyBorder="1" applyAlignment="1" applyProtection="1">
      <alignment vertical="center"/>
      <protection hidden="1"/>
    </xf>
    <xf numFmtId="38" fontId="21" fillId="38" borderId="10" xfId="1" applyNumberFormat="1" applyFont="1" applyFill="1" applyBorder="1" applyAlignment="1" applyProtection="1">
      <alignment vertical="center"/>
      <protection hidden="1"/>
    </xf>
    <xf numFmtId="38" fontId="21" fillId="42" borderId="10" xfId="1" applyNumberFormat="1" applyFont="1" applyFill="1" applyBorder="1" applyAlignment="1" applyProtection="1">
      <alignment vertical="center"/>
      <protection hidden="1"/>
    </xf>
    <xf numFmtId="165" fontId="20" fillId="38" borderId="10" xfId="1" applyNumberFormat="1" applyFont="1" applyFill="1" applyBorder="1" applyAlignment="1" applyProtection="1">
      <alignment vertical="center"/>
      <protection hidden="1"/>
    </xf>
    <xf numFmtId="0" fontId="27" fillId="40" borderId="10" xfId="0" applyFont="1" applyFill="1" applyBorder="1" applyAlignment="1">
      <alignment horizontal="right" vertical="center" readingOrder="2"/>
    </xf>
    <xf numFmtId="0" fontId="31" fillId="41" borderId="23" xfId="0" applyFont="1" applyFill="1" applyBorder="1" applyAlignment="1">
      <alignment horizontal="center" vertical="center" readingOrder="2"/>
    </xf>
    <xf numFmtId="0" fontId="22" fillId="35" borderId="10" xfId="0" applyFont="1" applyFill="1" applyBorder="1" applyAlignment="1">
      <alignment horizontal="center" vertical="center" readingOrder="2"/>
    </xf>
    <xf numFmtId="165" fontId="22" fillId="0" borderId="0" xfId="1" applyNumberFormat="1" applyFont="1" applyFill="1" applyBorder="1" applyAlignment="1">
      <alignment horizontal="center" vertical="center" readingOrder="2"/>
    </xf>
    <xf numFmtId="165" fontId="19" fillId="0" borderId="16" xfId="1" applyNumberFormat="1" applyFont="1" applyFill="1" applyBorder="1" applyAlignment="1">
      <alignment horizontal="center" vertical="center"/>
    </xf>
    <xf numFmtId="0" fontId="21" fillId="38" borderId="11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37" fontId="21" fillId="35" borderId="13" xfId="1" applyNumberFormat="1" applyFont="1" applyFill="1" applyBorder="1" applyAlignment="1" applyProtection="1">
      <alignment horizontal="center" vertical="center" wrapText="1"/>
    </xf>
    <xf numFmtId="37" fontId="21" fillId="35" borderId="15" xfId="1" applyNumberFormat="1" applyFont="1" applyFill="1" applyBorder="1" applyAlignment="1" applyProtection="1">
      <alignment horizontal="center" vertical="center" wrapText="1"/>
    </xf>
    <xf numFmtId="37" fontId="21" fillId="35" borderId="14" xfId="1" applyNumberFormat="1" applyFont="1" applyFill="1" applyBorder="1" applyAlignment="1" applyProtection="1">
      <alignment horizontal="center" vertical="center" wrapText="1"/>
    </xf>
    <xf numFmtId="165" fontId="21" fillId="42" borderId="11" xfId="1" applyNumberFormat="1" applyFont="1" applyFill="1" applyBorder="1" applyAlignment="1" applyProtection="1">
      <alignment horizontal="center" vertical="center" wrapText="1"/>
    </xf>
    <xf numFmtId="165" fontId="21" fillId="42" borderId="12" xfId="1" applyNumberFormat="1" applyFont="1" applyFill="1" applyBorder="1" applyAlignment="1" applyProtection="1">
      <alignment horizontal="center" vertical="center" wrapText="1"/>
    </xf>
    <xf numFmtId="37" fontId="21" fillId="33" borderId="13" xfId="1" applyNumberFormat="1" applyFont="1" applyFill="1" applyBorder="1" applyAlignment="1" applyProtection="1">
      <alignment horizontal="center" vertical="center" wrapText="1"/>
    </xf>
    <xf numFmtId="37" fontId="21" fillId="33" borderId="15" xfId="1" applyNumberFormat="1" applyFont="1" applyFill="1" applyBorder="1" applyAlignment="1" applyProtection="1">
      <alignment horizontal="center" vertical="center" wrapText="1"/>
    </xf>
    <xf numFmtId="37" fontId="21" fillId="33" borderId="14" xfId="1" applyNumberFormat="1" applyFont="1" applyFill="1" applyBorder="1" applyAlignment="1" applyProtection="1">
      <alignment horizontal="center" vertical="center" wrapText="1"/>
    </xf>
    <xf numFmtId="165" fontId="21" fillId="38" borderId="13" xfId="1" applyNumberFormat="1" applyFont="1" applyFill="1" applyBorder="1" applyAlignment="1" applyProtection="1">
      <alignment horizontal="center" vertical="center" wrapText="1"/>
    </xf>
    <xf numFmtId="165" fontId="21" fillId="38" borderId="15" xfId="1" applyNumberFormat="1" applyFont="1" applyFill="1" applyBorder="1" applyAlignment="1" applyProtection="1">
      <alignment horizontal="center" vertical="center" wrapText="1"/>
    </xf>
    <xf numFmtId="165" fontId="21" fillId="38" borderId="14" xfId="1" applyNumberFormat="1" applyFont="1" applyFill="1" applyBorder="1" applyAlignment="1" applyProtection="1">
      <alignment horizontal="center" vertical="center" wrapText="1"/>
    </xf>
    <xf numFmtId="165" fontId="21" fillId="42" borderId="13" xfId="1" applyNumberFormat="1" applyFont="1" applyFill="1" applyBorder="1" applyAlignment="1" applyProtection="1">
      <alignment horizontal="center" vertical="center" wrapText="1"/>
    </xf>
    <xf numFmtId="165" fontId="21" fillId="42" borderId="15" xfId="1" applyNumberFormat="1" applyFont="1" applyFill="1" applyBorder="1" applyAlignment="1" applyProtection="1">
      <alignment horizontal="center" vertical="center" wrapText="1"/>
    </xf>
    <xf numFmtId="165" fontId="21" fillId="42" borderId="14" xfId="1" applyNumberFormat="1" applyFont="1" applyFill="1" applyBorder="1" applyAlignment="1" applyProtection="1">
      <alignment horizontal="center" vertical="center" wrapText="1"/>
    </xf>
    <xf numFmtId="0" fontId="21" fillId="38" borderId="10" xfId="0" applyFont="1" applyFill="1" applyBorder="1" applyAlignment="1">
      <alignment horizontal="center" vertical="center" wrapText="1"/>
    </xf>
    <xf numFmtId="165" fontId="21" fillId="42" borderId="13" xfId="1" applyNumberFormat="1" applyFont="1" applyFill="1" applyBorder="1" applyAlignment="1" applyProtection="1">
      <alignment horizontal="center" wrapText="1"/>
    </xf>
    <xf numFmtId="165" fontId="21" fillId="42" borderId="15" xfId="1" applyNumberFormat="1" applyFont="1" applyFill="1" applyBorder="1" applyAlignment="1" applyProtection="1">
      <alignment horizontal="center" wrapText="1"/>
    </xf>
    <xf numFmtId="165" fontId="21" fillId="42" borderId="14" xfId="1" applyNumberFormat="1" applyFont="1" applyFill="1" applyBorder="1" applyAlignment="1" applyProtection="1">
      <alignment horizontal="center" wrapText="1"/>
    </xf>
    <xf numFmtId="0" fontId="20" fillId="0" borderId="10" xfId="0" applyFont="1" applyBorder="1" applyAlignment="1">
      <alignment horizontal="center" vertical="center" readingOrder="2"/>
    </xf>
    <xf numFmtId="0" fontId="20" fillId="0" borderId="10" xfId="0" applyFont="1" applyBorder="1" applyAlignment="1">
      <alignment horizontal="center" vertical="center" wrapText="1" readingOrder="2"/>
    </xf>
    <xf numFmtId="9" fontId="20" fillId="0" borderId="10" xfId="43" applyFont="1" applyFill="1" applyBorder="1" applyAlignment="1">
      <alignment horizontal="center" vertical="center" wrapText="1" readingOrder="2"/>
    </xf>
    <xf numFmtId="0" fontId="25" fillId="0" borderId="10" xfId="0" applyFont="1" applyBorder="1" applyAlignment="1">
      <alignment horizontal="center" vertical="center" readingOrder="2"/>
    </xf>
    <xf numFmtId="0" fontId="26" fillId="0" borderId="10" xfId="0" applyFont="1" applyBorder="1" applyAlignment="1">
      <alignment horizontal="center" vertical="center" readingOrder="2"/>
    </xf>
    <xf numFmtId="165" fontId="26" fillId="0" borderId="10" xfId="1" applyNumberFormat="1" applyFont="1" applyFill="1" applyBorder="1" applyAlignment="1">
      <alignment horizontal="center" vertical="center" readingOrder="2"/>
    </xf>
    <xf numFmtId="9" fontId="26" fillId="0" borderId="10" xfId="43" applyFont="1" applyFill="1" applyBorder="1" applyAlignment="1">
      <alignment horizontal="center" vertical="center" readingOrder="2"/>
    </xf>
    <xf numFmtId="2" fontId="26" fillId="0" borderId="10" xfId="0" applyNumberFormat="1" applyFont="1" applyBorder="1" applyAlignment="1">
      <alignment horizontal="center" vertical="center" readingOrder="2"/>
    </xf>
    <xf numFmtId="165" fontId="26" fillId="0" borderId="10" xfId="0" applyNumberFormat="1" applyFont="1" applyBorder="1" applyAlignment="1">
      <alignment horizontal="center" vertical="center" readingOrder="2"/>
    </xf>
    <xf numFmtId="9" fontId="26" fillId="0" borderId="10" xfId="0" applyNumberFormat="1" applyFont="1" applyBorder="1" applyAlignment="1">
      <alignment horizontal="center" vertical="center" readingOrder="2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EFFAFF"/>
      <color rgb="FFFFF7E1"/>
      <color rgb="FFECF5E7"/>
      <color rgb="FFFFE5FC"/>
      <color rgb="FFE5F7FF"/>
      <color rgb="FFDDF4FF"/>
      <color rgb="FFC9EDFF"/>
      <color rgb="FFFCECFE"/>
      <color rgb="FFFFCCFF"/>
      <color rgb="FFD6E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1316C-63C0-49C2-8979-8E2ECF371BAE}">
  <dimension ref="B1:O35"/>
  <sheetViews>
    <sheetView rightToLeft="1" topLeftCell="C1" zoomScaleNormal="100" workbookViewId="0">
      <selection activeCell="C4" sqref="C4:L4"/>
    </sheetView>
  </sheetViews>
  <sheetFormatPr defaultColWidth="11.69921875" defaultRowHeight="21.6" x14ac:dyDescent="0.25"/>
  <cols>
    <col min="1" max="1" width="1.8984375" style="17" customWidth="1"/>
    <col min="2" max="2" width="5" style="17" bestFit="1" customWidth="1"/>
    <col min="3" max="13" width="11.69921875" style="17"/>
    <col min="14" max="14" width="18.19921875" style="17" customWidth="1"/>
    <col min="15" max="15" width="29.59765625" style="17" customWidth="1"/>
    <col min="16" max="16384" width="11.69921875" style="17"/>
  </cols>
  <sheetData>
    <row r="1" spans="2:15" ht="27.6" x14ac:dyDescent="0.25">
      <c r="B1" s="46" t="s">
        <v>0</v>
      </c>
      <c r="C1" s="81" t="s">
        <v>109</v>
      </c>
      <c r="D1" s="81"/>
      <c r="E1" s="81"/>
      <c r="F1" s="81"/>
      <c r="G1" s="81"/>
      <c r="H1" s="81"/>
      <c r="I1" s="81"/>
      <c r="J1" s="81"/>
      <c r="K1" s="81"/>
      <c r="L1" s="81"/>
    </row>
    <row r="2" spans="2:15" ht="28.5" customHeight="1" thickBot="1" x14ac:dyDescent="0.3">
      <c r="B2" s="46">
        <v>1</v>
      </c>
      <c r="C2" s="79" t="s">
        <v>82</v>
      </c>
      <c r="D2" s="79"/>
      <c r="E2" s="79"/>
      <c r="F2" s="79"/>
      <c r="G2" s="79"/>
      <c r="H2" s="79"/>
      <c r="I2" s="79"/>
      <c r="J2" s="79"/>
      <c r="K2" s="79"/>
      <c r="L2" s="79"/>
      <c r="N2" s="80" t="s">
        <v>110</v>
      </c>
      <c r="O2" s="80"/>
    </row>
    <row r="3" spans="2:15" ht="28.5" customHeight="1" thickBot="1" x14ac:dyDescent="0.3">
      <c r="B3" s="46">
        <v>2</v>
      </c>
      <c r="C3" s="79" t="s">
        <v>107</v>
      </c>
      <c r="D3" s="79"/>
      <c r="E3" s="79"/>
      <c r="F3" s="79"/>
      <c r="G3" s="79"/>
      <c r="H3" s="79"/>
      <c r="I3" s="79"/>
      <c r="J3" s="79"/>
      <c r="K3" s="79"/>
      <c r="L3" s="79"/>
      <c r="N3" s="40" t="s">
        <v>101</v>
      </c>
      <c r="O3" s="41" t="s">
        <v>125</v>
      </c>
    </row>
    <row r="4" spans="2:15" ht="28.5" customHeight="1" thickTop="1" thickBot="1" x14ac:dyDescent="0.3">
      <c r="B4" s="46">
        <v>3</v>
      </c>
      <c r="C4" s="79" t="s">
        <v>127</v>
      </c>
      <c r="D4" s="79"/>
      <c r="E4" s="79"/>
      <c r="F4" s="79"/>
      <c r="G4" s="79"/>
      <c r="H4" s="79"/>
      <c r="I4" s="79"/>
      <c r="J4" s="79"/>
      <c r="K4" s="79"/>
      <c r="L4" s="79"/>
      <c r="N4" s="42" t="s">
        <v>100</v>
      </c>
      <c r="O4" s="43" t="s">
        <v>124</v>
      </c>
    </row>
    <row r="5" spans="2:15" ht="28.5" customHeight="1" thickTop="1" thickBot="1" x14ac:dyDescent="0.3">
      <c r="B5" s="46">
        <v>4</v>
      </c>
      <c r="C5" s="79" t="s">
        <v>111</v>
      </c>
      <c r="D5" s="79"/>
      <c r="E5" s="79"/>
      <c r="F5" s="79"/>
      <c r="G5" s="79"/>
      <c r="H5" s="79"/>
      <c r="I5" s="79"/>
      <c r="J5" s="79"/>
      <c r="K5" s="79"/>
      <c r="L5" s="79"/>
      <c r="N5" s="44" t="s">
        <v>102</v>
      </c>
      <c r="O5" s="45" t="s">
        <v>126</v>
      </c>
    </row>
    <row r="6" spans="2:15" ht="28.5" customHeight="1" x14ac:dyDescent="0.25">
      <c r="B6" s="46">
        <v>5</v>
      </c>
      <c r="C6" s="79" t="s">
        <v>81</v>
      </c>
      <c r="D6" s="79"/>
      <c r="E6" s="79"/>
      <c r="F6" s="79"/>
      <c r="G6" s="79"/>
      <c r="H6" s="79"/>
      <c r="I6" s="79"/>
      <c r="J6" s="79"/>
      <c r="K6" s="79"/>
      <c r="L6" s="79"/>
    </row>
    <row r="7" spans="2:15" ht="28.5" customHeight="1" x14ac:dyDescent="0.25">
      <c r="B7" s="46">
        <v>6</v>
      </c>
      <c r="C7" s="47" t="s">
        <v>80</v>
      </c>
      <c r="D7" s="48"/>
      <c r="E7" s="48"/>
      <c r="F7" s="48"/>
      <c r="G7" s="48"/>
      <c r="H7" s="48"/>
      <c r="I7" s="48"/>
      <c r="J7" s="48"/>
      <c r="K7" s="48"/>
      <c r="L7" s="49"/>
    </row>
    <row r="8" spans="2:15" ht="28.5" customHeight="1" x14ac:dyDescent="0.25">
      <c r="B8" s="46">
        <v>7</v>
      </c>
      <c r="C8" s="47" t="s">
        <v>108</v>
      </c>
      <c r="D8" s="48"/>
      <c r="E8" s="48"/>
      <c r="F8" s="48"/>
      <c r="G8" s="48"/>
      <c r="H8" s="48"/>
      <c r="I8" s="48"/>
      <c r="J8" s="48"/>
      <c r="K8" s="48"/>
      <c r="L8" s="49"/>
    </row>
    <row r="9" spans="2:15" ht="28.5" customHeight="1" x14ac:dyDescent="0.25">
      <c r="B9" s="46">
        <v>8</v>
      </c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2:15" ht="28.5" customHeight="1" x14ac:dyDescent="0.25">
      <c r="B10" s="46">
        <v>9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2:15" ht="28.5" customHeight="1" x14ac:dyDescent="0.25">
      <c r="B11" s="46">
        <v>10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2:15" x14ac:dyDescent="0.25">
      <c r="G12" s="19"/>
      <c r="L12" s="18"/>
    </row>
    <row r="13" spans="2:15" x14ac:dyDescent="0.25">
      <c r="G13" s="19"/>
      <c r="L13" s="18"/>
    </row>
    <row r="14" spans="2:15" x14ac:dyDescent="0.25">
      <c r="G14" s="19"/>
      <c r="L14" s="18"/>
    </row>
    <row r="15" spans="2:15" x14ac:dyDescent="0.25">
      <c r="G15" s="19"/>
    </row>
    <row r="16" spans="2:15" x14ac:dyDescent="0.25">
      <c r="G16" s="19"/>
    </row>
    <row r="17" spans="7:10" x14ac:dyDescent="0.25">
      <c r="G17" s="19"/>
    </row>
    <row r="18" spans="7:10" x14ac:dyDescent="0.25">
      <c r="G18" s="19"/>
    </row>
    <row r="19" spans="7:10" x14ac:dyDescent="0.25">
      <c r="G19" s="19"/>
    </row>
    <row r="20" spans="7:10" x14ac:dyDescent="0.25">
      <c r="G20" s="19"/>
    </row>
    <row r="21" spans="7:10" x14ac:dyDescent="0.25">
      <c r="G21" s="19"/>
    </row>
    <row r="22" spans="7:10" x14ac:dyDescent="0.25">
      <c r="G22" s="19"/>
    </row>
    <row r="23" spans="7:10" x14ac:dyDescent="0.25">
      <c r="G23" s="19"/>
    </row>
    <row r="24" spans="7:10" x14ac:dyDescent="0.25">
      <c r="G24" s="19"/>
    </row>
    <row r="25" spans="7:10" x14ac:dyDescent="0.25">
      <c r="G25" s="19"/>
    </row>
    <row r="26" spans="7:10" x14ac:dyDescent="0.25">
      <c r="G26" s="19"/>
    </row>
    <row r="27" spans="7:10" x14ac:dyDescent="0.25">
      <c r="G27" s="19"/>
    </row>
    <row r="28" spans="7:10" x14ac:dyDescent="0.25">
      <c r="G28" s="19"/>
    </row>
    <row r="29" spans="7:10" x14ac:dyDescent="0.25">
      <c r="G29" s="19"/>
      <c r="J29" s="20"/>
    </row>
    <row r="30" spans="7:10" x14ac:dyDescent="0.25">
      <c r="G30" s="19"/>
    </row>
    <row r="31" spans="7:10" x14ac:dyDescent="0.25">
      <c r="G31" s="19"/>
    </row>
    <row r="32" spans="7:10" x14ac:dyDescent="0.25">
      <c r="G32" s="19"/>
    </row>
    <row r="33" spans="7:7" x14ac:dyDescent="0.25">
      <c r="G33" s="19"/>
    </row>
    <row r="34" spans="7:7" x14ac:dyDescent="0.25">
      <c r="G34" s="19"/>
    </row>
    <row r="35" spans="7:7" x14ac:dyDescent="0.25">
      <c r="G35" s="19"/>
    </row>
  </sheetData>
  <mergeCells count="10">
    <mergeCell ref="C1:L1"/>
    <mergeCell ref="C2:L2"/>
    <mergeCell ref="C3:L3"/>
    <mergeCell ref="C4:L4"/>
    <mergeCell ref="C5:L5"/>
    <mergeCell ref="C9:L9"/>
    <mergeCell ref="C10:L10"/>
    <mergeCell ref="C11:L11"/>
    <mergeCell ref="N2:O2"/>
    <mergeCell ref="C6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rightToLeft="1" topLeftCell="A2" zoomScale="115" zoomScaleNormal="115" workbookViewId="0">
      <selection activeCell="B20" sqref="B20:B23"/>
    </sheetView>
  </sheetViews>
  <sheetFormatPr defaultColWidth="9" defaultRowHeight="18.600000000000001" x14ac:dyDescent="0.25"/>
  <cols>
    <col min="1" max="8" width="9" style="25"/>
    <col min="9" max="9" width="11.09765625" style="28" hidden="1" customWidth="1"/>
    <col min="10" max="10" width="0" style="25" hidden="1" customWidth="1"/>
    <col min="11" max="11" width="10.09765625" style="25" hidden="1" customWidth="1"/>
    <col min="12" max="12" width="9.19921875" style="25" hidden="1" customWidth="1"/>
    <col min="13" max="13" width="9.19921875" style="25" bestFit="1" customWidth="1"/>
    <col min="14" max="14" width="9" style="25"/>
    <col min="15" max="15" width="9.3984375" style="25" bestFit="1" customWidth="1"/>
    <col min="16" max="16384" width="9" style="25"/>
  </cols>
  <sheetData>
    <row r="1" spans="1:20" ht="36" customHeight="1" x14ac:dyDescent="0.25">
      <c r="A1" s="25" t="s">
        <v>22</v>
      </c>
      <c r="D1" s="104"/>
      <c r="E1" s="104"/>
      <c r="F1" s="104" t="s">
        <v>93</v>
      </c>
      <c r="G1" s="104" t="s">
        <v>92</v>
      </c>
      <c r="H1" s="105" t="s">
        <v>91</v>
      </c>
      <c r="I1" s="106" t="s">
        <v>86</v>
      </c>
      <c r="J1" s="105"/>
      <c r="K1" s="105" t="s">
        <v>85</v>
      </c>
      <c r="L1" s="104"/>
      <c r="M1" s="104"/>
      <c r="N1" s="107" t="s">
        <v>78</v>
      </c>
      <c r="O1" s="107" t="s">
        <v>66</v>
      </c>
      <c r="P1" s="107" t="s">
        <v>67</v>
      </c>
      <c r="Q1" s="107" t="s">
        <v>68</v>
      </c>
    </row>
    <row r="2" spans="1:20" x14ac:dyDescent="0.25">
      <c r="A2" s="104" t="s">
        <v>70</v>
      </c>
      <c r="B2" s="104">
        <v>31</v>
      </c>
      <c r="D2" s="104" t="s">
        <v>40</v>
      </c>
      <c r="E2" s="104"/>
      <c r="F2" s="104">
        <v>30</v>
      </c>
      <c r="G2" s="108">
        <v>1373</v>
      </c>
      <c r="H2" s="109">
        <v>0</v>
      </c>
      <c r="I2" s="110"/>
      <c r="J2" s="109"/>
      <c r="K2" s="108"/>
      <c r="L2" s="108"/>
      <c r="M2" s="108"/>
      <c r="N2" s="108">
        <v>1</v>
      </c>
      <c r="O2" s="108" t="s">
        <v>70</v>
      </c>
      <c r="P2" s="108">
        <v>31</v>
      </c>
      <c r="Q2" s="111">
        <v>139.33333327</v>
      </c>
      <c r="R2" s="24"/>
      <c r="T2" s="24"/>
    </row>
    <row r="3" spans="1:20" x14ac:dyDescent="0.25">
      <c r="A3" s="104" t="s">
        <v>72</v>
      </c>
      <c r="B3" s="104">
        <v>31</v>
      </c>
      <c r="D3" s="104" t="s">
        <v>41</v>
      </c>
      <c r="E3" s="104"/>
      <c r="F3" s="104">
        <v>29</v>
      </c>
      <c r="G3" s="108">
        <v>1374</v>
      </c>
      <c r="H3" s="109">
        <v>855498</v>
      </c>
      <c r="I3" s="110"/>
      <c r="J3" s="109"/>
      <c r="K3" s="112">
        <f>H3*30</f>
        <v>25664940</v>
      </c>
      <c r="L3" s="108"/>
      <c r="M3" s="108"/>
      <c r="N3" s="108">
        <v>2</v>
      </c>
      <c r="O3" s="108" t="s">
        <v>72</v>
      </c>
      <c r="P3" s="108">
        <v>31</v>
      </c>
      <c r="Q3" s="111">
        <v>190.66666658</v>
      </c>
      <c r="R3" s="24"/>
      <c r="T3" s="24"/>
    </row>
    <row r="4" spans="1:20" x14ac:dyDescent="0.25">
      <c r="A4" s="104" t="s">
        <v>23</v>
      </c>
      <c r="B4" s="104">
        <v>31</v>
      </c>
      <c r="D4" s="104"/>
      <c r="E4" s="104"/>
      <c r="F4" s="104">
        <v>28</v>
      </c>
      <c r="G4" s="108">
        <v>1375</v>
      </c>
      <c r="H4" s="109">
        <v>852501</v>
      </c>
      <c r="I4" s="110"/>
      <c r="J4" s="109"/>
      <c r="K4" s="112">
        <f t="shared" ref="K4:K32" si="0">H4*30</f>
        <v>25575030</v>
      </c>
      <c r="L4" s="108"/>
      <c r="M4" s="108"/>
      <c r="N4" s="108">
        <v>3</v>
      </c>
      <c r="O4" s="108" t="s">
        <v>23</v>
      </c>
      <c r="P4" s="108">
        <v>31</v>
      </c>
      <c r="Q4" s="111">
        <v>175.99999991999999</v>
      </c>
      <c r="R4" s="24"/>
      <c r="S4" s="24"/>
      <c r="T4" s="24"/>
    </row>
    <row r="5" spans="1:20" x14ac:dyDescent="0.25">
      <c r="A5" s="104" t="s">
        <v>73</v>
      </c>
      <c r="B5" s="104">
        <v>31</v>
      </c>
      <c r="D5" s="104"/>
      <c r="E5" s="104"/>
      <c r="F5" s="104">
        <v>27</v>
      </c>
      <c r="G5" s="108">
        <v>1376</v>
      </c>
      <c r="H5" s="109">
        <v>850005</v>
      </c>
      <c r="I5" s="110"/>
      <c r="J5" s="109"/>
      <c r="K5" s="112">
        <f t="shared" si="0"/>
        <v>25500150</v>
      </c>
      <c r="L5" s="108"/>
      <c r="M5" s="108"/>
      <c r="N5" s="108">
        <v>4</v>
      </c>
      <c r="O5" s="108" t="s">
        <v>73</v>
      </c>
      <c r="P5" s="108">
        <v>31</v>
      </c>
      <c r="Q5" s="111">
        <v>168.66666659000001</v>
      </c>
      <c r="R5" s="24"/>
      <c r="S5" s="24"/>
      <c r="T5" s="24"/>
    </row>
    <row r="6" spans="1:20" x14ac:dyDescent="0.25">
      <c r="A6" s="104" t="s">
        <v>24</v>
      </c>
      <c r="B6" s="104">
        <v>31</v>
      </c>
      <c r="D6" s="107" t="s">
        <v>71</v>
      </c>
      <c r="E6" s="107"/>
      <c r="F6" s="104">
        <v>26</v>
      </c>
      <c r="G6" s="108">
        <v>1377</v>
      </c>
      <c r="H6" s="109">
        <v>847516</v>
      </c>
      <c r="I6" s="110"/>
      <c r="J6" s="109"/>
      <c r="K6" s="112">
        <f t="shared" si="0"/>
        <v>25425480</v>
      </c>
      <c r="L6" s="108"/>
      <c r="M6" s="108"/>
      <c r="N6" s="108">
        <v>5</v>
      </c>
      <c r="O6" s="108" t="s">
        <v>24</v>
      </c>
      <c r="P6" s="108">
        <v>31</v>
      </c>
      <c r="Q6" s="111">
        <v>197.99999991000001</v>
      </c>
      <c r="R6" s="24"/>
      <c r="S6" s="24"/>
      <c r="T6" s="24"/>
    </row>
    <row r="7" spans="1:20" x14ac:dyDescent="0.25">
      <c r="A7" s="104" t="s">
        <v>74</v>
      </c>
      <c r="B7" s="104">
        <v>31</v>
      </c>
      <c r="D7" s="107" t="s">
        <v>69</v>
      </c>
      <c r="E7" s="107"/>
      <c r="F7" s="104">
        <v>25</v>
      </c>
      <c r="G7" s="108">
        <v>1378</v>
      </c>
      <c r="H7" s="109">
        <v>844590</v>
      </c>
      <c r="I7" s="110"/>
      <c r="J7" s="109"/>
      <c r="K7" s="112">
        <f t="shared" si="0"/>
        <v>25337700</v>
      </c>
      <c r="L7" s="108"/>
      <c r="M7" s="108"/>
      <c r="N7" s="108">
        <v>6</v>
      </c>
      <c r="O7" s="108" t="s">
        <v>74</v>
      </c>
      <c r="P7" s="108">
        <v>31</v>
      </c>
      <c r="Q7" s="111">
        <v>153.99999993</v>
      </c>
      <c r="R7" s="24"/>
      <c r="S7" s="24"/>
      <c r="T7" s="24"/>
    </row>
    <row r="8" spans="1:20" x14ac:dyDescent="0.25">
      <c r="A8" s="104" t="s">
        <v>25</v>
      </c>
      <c r="B8" s="104">
        <v>30</v>
      </c>
      <c r="D8" s="104"/>
      <c r="E8" s="104"/>
      <c r="F8" s="104">
        <v>24</v>
      </c>
      <c r="G8" s="108">
        <v>1379</v>
      </c>
      <c r="H8" s="109">
        <v>841013</v>
      </c>
      <c r="I8" s="110"/>
      <c r="J8" s="109"/>
      <c r="K8" s="112">
        <f t="shared" si="0"/>
        <v>25230390</v>
      </c>
      <c r="L8" s="108"/>
      <c r="M8" s="108"/>
      <c r="N8" s="108">
        <v>7</v>
      </c>
      <c r="O8" s="108" t="s">
        <v>25</v>
      </c>
      <c r="P8" s="108">
        <v>30</v>
      </c>
      <c r="Q8" s="111">
        <v>190.66666658</v>
      </c>
      <c r="R8" s="24"/>
      <c r="S8" s="24"/>
      <c r="T8" s="24"/>
    </row>
    <row r="9" spans="1:20" x14ac:dyDescent="0.25">
      <c r="A9" s="104" t="s">
        <v>26</v>
      </c>
      <c r="B9" s="104">
        <v>30</v>
      </c>
      <c r="D9" s="104"/>
      <c r="E9" s="104"/>
      <c r="F9" s="104">
        <v>23</v>
      </c>
      <c r="G9" s="108">
        <v>1380</v>
      </c>
      <c r="H9" s="109">
        <v>841013</v>
      </c>
      <c r="I9" s="110"/>
      <c r="J9" s="109"/>
      <c r="K9" s="112">
        <f t="shared" si="0"/>
        <v>25230390</v>
      </c>
      <c r="L9" s="108"/>
      <c r="M9" s="108"/>
      <c r="N9" s="108">
        <v>8</v>
      </c>
      <c r="O9" s="108" t="s">
        <v>26</v>
      </c>
      <c r="P9" s="108">
        <v>30</v>
      </c>
      <c r="Q9" s="111">
        <v>190.66666658</v>
      </c>
      <c r="R9" s="24"/>
      <c r="S9" s="24"/>
      <c r="T9" s="24"/>
    </row>
    <row r="10" spans="1:20" x14ac:dyDescent="0.25">
      <c r="A10" s="104" t="s">
        <v>27</v>
      </c>
      <c r="B10" s="104">
        <v>30</v>
      </c>
      <c r="D10" s="104"/>
      <c r="E10" s="104"/>
      <c r="F10" s="104">
        <v>22</v>
      </c>
      <c r="G10" s="108">
        <v>1381</v>
      </c>
      <c r="H10" s="109">
        <v>841013</v>
      </c>
      <c r="I10" s="110"/>
      <c r="J10" s="109"/>
      <c r="K10" s="112">
        <f t="shared" si="0"/>
        <v>25230390</v>
      </c>
      <c r="L10" s="108"/>
      <c r="M10" s="108"/>
      <c r="N10" s="108">
        <v>9</v>
      </c>
      <c r="O10" s="108" t="s">
        <v>27</v>
      </c>
      <c r="P10" s="108">
        <v>30</v>
      </c>
      <c r="Q10" s="111">
        <v>175.99999991999999</v>
      </c>
      <c r="R10" s="24"/>
      <c r="S10" s="24"/>
      <c r="T10" s="24"/>
    </row>
    <row r="11" spans="1:20" x14ac:dyDescent="0.25">
      <c r="A11" s="104" t="s">
        <v>75</v>
      </c>
      <c r="B11" s="104">
        <v>30</v>
      </c>
      <c r="D11" s="104"/>
      <c r="E11" s="104"/>
      <c r="F11" s="104">
        <v>21</v>
      </c>
      <c r="G11" s="108">
        <v>1382</v>
      </c>
      <c r="H11" s="109">
        <v>841013</v>
      </c>
      <c r="I11" s="110"/>
      <c r="J11" s="109"/>
      <c r="K11" s="112">
        <f t="shared" si="0"/>
        <v>25230390</v>
      </c>
      <c r="L11" s="108"/>
      <c r="M11" s="108"/>
      <c r="N11" s="108">
        <v>10</v>
      </c>
      <c r="O11" s="108" t="s">
        <v>75</v>
      </c>
      <c r="P11" s="108">
        <v>30</v>
      </c>
      <c r="Q11" s="111">
        <v>183.33333325000001</v>
      </c>
      <c r="R11" s="24"/>
      <c r="S11" s="24"/>
      <c r="T11" s="24"/>
    </row>
    <row r="12" spans="1:20" x14ac:dyDescent="0.25">
      <c r="A12" s="104" t="s">
        <v>76</v>
      </c>
      <c r="B12" s="104">
        <v>30</v>
      </c>
      <c r="D12" s="104"/>
      <c r="E12" s="104"/>
      <c r="F12" s="104">
        <v>20</v>
      </c>
      <c r="G12" s="108">
        <v>1383</v>
      </c>
      <c r="H12" s="109">
        <v>841013</v>
      </c>
      <c r="I12" s="110"/>
      <c r="J12" s="109"/>
      <c r="K12" s="112">
        <f t="shared" si="0"/>
        <v>25230390</v>
      </c>
      <c r="L12" s="108"/>
      <c r="M12" s="108"/>
      <c r="N12" s="108">
        <v>11</v>
      </c>
      <c r="O12" s="108" t="s">
        <v>76</v>
      </c>
      <c r="P12" s="108">
        <v>30</v>
      </c>
      <c r="Q12" s="111">
        <v>168.66666659000001</v>
      </c>
      <c r="R12" s="24"/>
      <c r="S12" s="24"/>
      <c r="T12" s="24"/>
    </row>
    <row r="13" spans="1:20" x14ac:dyDescent="0.25">
      <c r="A13" s="104" t="s">
        <v>77</v>
      </c>
      <c r="B13" s="104">
        <v>30</v>
      </c>
      <c r="D13" s="104"/>
      <c r="E13" s="104"/>
      <c r="F13" s="104">
        <v>19</v>
      </c>
      <c r="G13" s="108">
        <v>1384</v>
      </c>
      <c r="H13" s="109">
        <v>841013</v>
      </c>
      <c r="I13" s="110"/>
      <c r="J13" s="109"/>
      <c r="K13" s="112">
        <f t="shared" si="0"/>
        <v>25230390</v>
      </c>
      <c r="L13" s="108"/>
      <c r="M13" s="108"/>
      <c r="N13" s="108">
        <v>12</v>
      </c>
      <c r="O13" s="108" t="s">
        <v>77</v>
      </c>
      <c r="P13" s="108">
        <v>30</v>
      </c>
      <c r="Q13" s="111">
        <v>168.66666659000001</v>
      </c>
      <c r="R13" s="24"/>
      <c r="S13" s="24"/>
      <c r="T13" s="24"/>
    </row>
    <row r="14" spans="1:20" x14ac:dyDescent="0.25">
      <c r="F14" s="104">
        <v>18</v>
      </c>
      <c r="G14" s="108">
        <v>1385</v>
      </c>
      <c r="H14" s="109">
        <v>841013</v>
      </c>
      <c r="I14" s="110"/>
      <c r="J14" s="109"/>
      <c r="K14" s="112">
        <f t="shared" si="0"/>
        <v>25230390</v>
      </c>
      <c r="L14" s="108"/>
      <c r="M14" s="108"/>
      <c r="N14" s="104"/>
      <c r="O14" s="104"/>
      <c r="R14" s="24"/>
      <c r="S14" s="24"/>
      <c r="T14" s="24"/>
    </row>
    <row r="15" spans="1:20" x14ac:dyDescent="0.25">
      <c r="F15" s="104">
        <v>17</v>
      </c>
      <c r="G15" s="108">
        <v>1386</v>
      </c>
      <c r="H15" s="109">
        <v>829693</v>
      </c>
      <c r="I15" s="110"/>
      <c r="J15" s="109"/>
      <c r="K15" s="112">
        <f t="shared" si="0"/>
        <v>24890790</v>
      </c>
      <c r="L15" s="108"/>
      <c r="M15" s="108"/>
      <c r="N15" s="108"/>
      <c r="O15" s="108"/>
      <c r="P15" s="24"/>
      <c r="Q15" s="24"/>
      <c r="R15" s="24"/>
      <c r="S15" s="24"/>
      <c r="T15" s="24"/>
    </row>
    <row r="16" spans="1:20" x14ac:dyDescent="0.25">
      <c r="F16" s="104">
        <v>16</v>
      </c>
      <c r="G16" s="108">
        <v>1387</v>
      </c>
      <c r="H16" s="109">
        <v>818885</v>
      </c>
      <c r="I16" s="110"/>
      <c r="J16" s="109"/>
      <c r="K16" s="112">
        <f t="shared" si="0"/>
        <v>24566550</v>
      </c>
      <c r="L16" s="108"/>
      <c r="M16" s="108"/>
      <c r="N16" s="108"/>
      <c r="O16" s="108"/>
      <c r="P16" s="24"/>
      <c r="Q16" s="24"/>
      <c r="R16" s="24"/>
      <c r="S16" s="24"/>
      <c r="T16" s="24"/>
    </row>
    <row r="17" spans="1:20" x14ac:dyDescent="0.25">
      <c r="A17" s="104" t="s">
        <v>96</v>
      </c>
      <c r="B17" s="104">
        <f>2/7</f>
        <v>0.2857142857142857</v>
      </c>
      <c r="F17" s="104">
        <v>15</v>
      </c>
      <c r="G17" s="108">
        <v>1388</v>
      </c>
      <c r="H17" s="109">
        <v>808609</v>
      </c>
      <c r="I17" s="110"/>
      <c r="J17" s="109"/>
      <c r="K17" s="112">
        <f t="shared" si="0"/>
        <v>24258270</v>
      </c>
      <c r="L17" s="108"/>
      <c r="M17" s="108"/>
      <c r="N17" s="108"/>
      <c r="O17" s="108"/>
      <c r="P17" s="24"/>
      <c r="Q17" s="24"/>
      <c r="R17" s="24"/>
      <c r="S17" s="24"/>
      <c r="T17" s="24"/>
    </row>
    <row r="18" spans="1:20" x14ac:dyDescent="0.25">
      <c r="A18" s="104" t="s">
        <v>97</v>
      </c>
      <c r="B18" s="104">
        <f>7/7</f>
        <v>1</v>
      </c>
      <c r="F18" s="104">
        <v>14</v>
      </c>
      <c r="G18" s="108">
        <v>1389</v>
      </c>
      <c r="H18" s="109">
        <v>793233</v>
      </c>
      <c r="I18" s="110"/>
      <c r="J18" s="109"/>
      <c r="K18" s="112">
        <f t="shared" si="0"/>
        <v>23796990</v>
      </c>
      <c r="L18" s="108"/>
      <c r="M18" s="108"/>
      <c r="N18" s="108"/>
      <c r="O18" s="108"/>
      <c r="P18" s="24"/>
      <c r="Q18" s="24"/>
      <c r="R18" s="24"/>
      <c r="S18" s="24"/>
      <c r="T18" s="24"/>
    </row>
    <row r="19" spans="1:20" x14ac:dyDescent="0.25">
      <c r="F19" s="104">
        <v>13</v>
      </c>
      <c r="G19" s="108">
        <v>1390</v>
      </c>
      <c r="H19" s="109">
        <v>778731</v>
      </c>
      <c r="I19" s="110"/>
      <c r="J19" s="109"/>
      <c r="K19" s="112">
        <f>H19*30</f>
        <v>23361930</v>
      </c>
      <c r="L19" s="108"/>
      <c r="M19" s="108"/>
      <c r="N19" s="108"/>
      <c r="O19" s="108"/>
      <c r="P19" s="24"/>
      <c r="Q19" s="24"/>
      <c r="R19" s="24"/>
      <c r="S19" s="24"/>
      <c r="T19" s="24"/>
    </row>
    <row r="20" spans="1:20" x14ac:dyDescent="0.25">
      <c r="B20" s="104" t="s">
        <v>104</v>
      </c>
      <c r="F20" s="104">
        <v>12</v>
      </c>
      <c r="G20" s="108">
        <v>1391</v>
      </c>
      <c r="H20" s="109">
        <v>761791</v>
      </c>
      <c r="I20" s="110"/>
      <c r="J20" s="109"/>
      <c r="K20" s="112">
        <f t="shared" si="0"/>
        <v>22853730</v>
      </c>
      <c r="L20" s="108"/>
      <c r="M20" s="108"/>
      <c r="N20" s="108"/>
      <c r="O20" s="108"/>
      <c r="P20" s="24"/>
      <c r="Q20" s="24"/>
      <c r="R20" s="24"/>
      <c r="S20" s="24"/>
      <c r="T20" s="24"/>
    </row>
    <row r="21" spans="1:20" x14ac:dyDescent="0.25">
      <c r="B21" s="104">
        <v>176</v>
      </c>
      <c r="F21" s="104">
        <v>11</v>
      </c>
      <c r="G21" s="108">
        <v>1392</v>
      </c>
      <c r="H21" s="109">
        <v>743302</v>
      </c>
      <c r="I21" s="110"/>
      <c r="J21" s="109"/>
      <c r="K21" s="112">
        <f t="shared" si="0"/>
        <v>22299060</v>
      </c>
      <c r="L21" s="108"/>
      <c r="M21" s="108"/>
      <c r="N21" s="108"/>
      <c r="O21" s="108"/>
      <c r="P21" s="24"/>
      <c r="Q21" s="24"/>
      <c r="R21" s="24"/>
      <c r="S21" s="24"/>
      <c r="T21" s="24"/>
    </row>
    <row r="22" spans="1:20" x14ac:dyDescent="0.25">
      <c r="B22" s="104">
        <v>192</v>
      </c>
      <c r="F22" s="104">
        <v>10</v>
      </c>
      <c r="G22" s="108">
        <v>1393</v>
      </c>
      <c r="H22" s="109">
        <v>715797</v>
      </c>
      <c r="I22" s="110"/>
      <c r="J22" s="109"/>
      <c r="K22" s="112">
        <f t="shared" si="0"/>
        <v>21473910</v>
      </c>
      <c r="L22" s="108"/>
      <c r="M22" s="108"/>
      <c r="N22" s="108"/>
      <c r="O22" s="108"/>
      <c r="P22" s="24"/>
      <c r="Q22" s="24"/>
      <c r="R22" s="24"/>
      <c r="S22" s="24"/>
      <c r="T22" s="24"/>
    </row>
    <row r="23" spans="1:20" x14ac:dyDescent="0.25">
      <c r="B23" s="104">
        <v>220</v>
      </c>
      <c r="F23" s="104">
        <v>9</v>
      </c>
      <c r="G23" s="108">
        <v>1394</v>
      </c>
      <c r="H23" s="109">
        <v>668783</v>
      </c>
      <c r="I23" s="110"/>
      <c r="J23" s="109"/>
      <c r="K23" s="112">
        <f t="shared" si="0"/>
        <v>20063490</v>
      </c>
      <c r="L23" s="108"/>
      <c r="M23" s="108"/>
      <c r="N23" s="108"/>
      <c r="O23" s="108"/>
      <c r="P23" s="24"/>
      <c r="Q23" s="24"/>
      <c r="R23" s="24"/>
      <c r="S23" s="24"/>
      <c r="T23" s="24"/>
    </row>
    <row r="24" spans="1:20" x14ac:dyDescent="0.25">
      <c r="F24" s="104">
        <v>8</v>
      </c>
      <c r="G24" s="108">
        <v>1395</v>
      </c>
      <c r="H24" s="109">
        <v>627545</v>
      </c>
      <c r="I24" s="110"/>
      <c r="J24" s="109"/>
      <c r="K24" s="112">
        <f t="shared" si="0"/>
        <v>18826350</v>
      </c>
      <c r="L24" s="108"/>
      <c r="M24" s="108"/>
      <c r="N24" s="108"/>
      <c r="O24" s="108"/>
      <c r="P24" s="24"/>
      <c r="Q24" s="24"/>
      <c r="R24" s="24"/>
      <c r="S24" s="24"/>
      <c r="T24" s="24"/>
    </row>
    <row r="25" spans="1:20" x14ac:dyDescent="0.25">
      <c r="F25" s="104">
        <v>7</v>
      </c>
      <c r="G25" s="108">
        <v>1396</v>
      </c>
      <c r="H25" s="109">
        <v>564940</v>
      </c>
      <c r="I25" s="110"/>
      <c r="J25" s="109"/>
      <c r="K25" s="112">
        <f t="shared" si="0"/>
        <v>16948200</v>
      </c>
      <c r="L25" s="108"/>
      <c r="M25" s="108"/>
      <c r="N25" s="108"/>
      <c r="O25" s="108"/>
      <c r="P25" s="24"/>
      <c r="Q25" s="24"/>
      <c r="R25" s="24"/>
      <c r="S25" s="24"/>
      <c r="T25" s="24"/>
    </row>
    <row r="26" spans="1:20" x14ac:dyDescent="0.25">
      <c r="F26" s="104">
        <v>6</v>
      </c>
      <c r="G26" s="108">
        <v>1397</v>
      </c>
      <c r="H26" s="109">
        <v>508235</v>
      </c>
      <c r="I26" s="110"/>
      <c r="J26" s="109"/>
      <c r="K26" s="112">
        <f t="shared" si="0"/>
        <v>15247050</v>
      </c>
      <c r="L26" s="108"/>
      <c r="M26" s="108"/>
      <c r="N26" s="108"/>
      <c r="O26" s="108"/>
      <c r="P26" s="24"/>
      <c r="Q26" s="24"/>
      <c r="R26" s="24"/>
      <c r="S26" s="24"/>
      <c r="T26" s="24"/>
    </row>
    <row r="27" spans="1:20" x14ac:dyDescent="0.25">
      <c r="F27" s="104">
        <v>5</v>
      </c>
      <c r="G27" s="108">
        <v>1398</v>
      </c>
      <c r="H27" s="109">
        <v>439361</v>
      </c>
      <c r="I27" s="110"/>
      <c r="J27" s="109"/>
      <c r="K27" s="112">
        <f t="shared" si="0"/>
        <v>13180830</v>
      </c>
      <c r="L27" s="108"/>
      <c r="M27" s="108"/>
      <c r="N27" s="108"/>
      <c r="O27" s="108"/>
      <c r="P27" s="24"/>
      <c r="Q27" s="24"/>
      <c r="R27" s="24"/>
      <c r="S27" s="24"/>
      <c r="T27" s="24"/>
    </row>
    <row r="28" spans="1:20" x14ac:dyDescent="0.25">
      <c r="F28" s="104">
        <v>4</v>
      </c>
      <c r="G28" s="108">
        <v>1399</v>
      </c>
      <c r="H28" s="109">
        <v>353801</v>
      </c>
      <c r="I28" s="110"/>
      <c r="J28" s="109"/>
      <c r="K28" s="112">
        <f t="shared" si="0"/>
        <v>10614030</v>
      </c>
      <c r="L28" s="108"/>
      <c r="M28" s="108"/>
      <c r="N28" s="108"/>
      <c r="O28" s="108"/>
      <c r="P28" s="24"/>
      <c r="Q28" s="24"/>
      <c r="R28" s="24"/>
      <c r="S28" s="24"/>
      <c r="T28" s="24"/>
    </row>
    <row r="29" spans="1:20" x14ac:dyDescent="0.25">
      <c r="F29" s="104">
        <v>3</v>
      </c>
      <c r="G29" s="108">
        <v>1400</v>
      </c>
      <c r="H29" s="109">
        <v>258734</v>
      </c>
      <c r="I29" s="110"/>
      <c r="J29" s="109"/>
      <c r="K29" s="112">
        <f t="shared" si="0"/>
        <v>7762020</v>
      </c>
      <c r="L29" s="108"/>
      <c r="M29" s="108"/>
      <c r="N29" s="108"/>
      <c r="O29" s="109">
        <v>70000</v>
      </c>
      <c r="P29" s="24"/>
      <c r="Q29" s="24"/>
      <c r="R29" s="24"/>
      <c r="S29" s="24"/>
      <c r="T29" s="24"/>
    </row>
    <row r="30" spans="1:20" x14ac:dyDescent="0.25">
      <c r="F30" s="104">
        <v>2</v>
      </c>
      <c r="G30" s="108">
        <v>1401</v>
      </c>
      <c r="H30" s="109">
        <v>155400</v>
      </c>
      <c r="I30" s="110"/>
      <c r="J30" s="109"/>
      <c r="K30" s="112">
        <f t="shared" si="0"/>
        <v>4662000</v>
      </c>
      <c r="L30" s="108"/>
      <c r="M30" s="108"/>
      <c r="N30" s="108"/>
      <c r="O30" s="113">
        <v>1.22</v>
      </c>
      <c r="P30" s="24"/>
      <c r="Q30" s="24"/>
      <c r="R30" s="24"/>
      <c r="S30" s="24"/>
      <c r="T30" s="24"/>
    </row>
    <row r="31" spans="1:20" x14ac:dyDescent="0.25">
      <c r="F31" s="104">
        <v>1</v>
      </c>
      <c r="G31" s="108">
        <v>1402</v>
      </c>
      <c r="H31" s="109">
        <v>70000</v>
      </c>
      <c r="I31" s="110"/>
      <c r="J31" s="109"/>
      <c r="K31" s="112">
        <f t="shared" si="0"/>
        <v>2100000</v>
      </c>
      <c r="L31" s="112">
        <f>K31*I32</f>
        <v>2562000</v>
      </c>
      <c r="M31" s="112">
        <f>L31+K31</f>
        <v>4662000</v>
      </c>
      <c r="N31" s="108"/>
      <c r="O31" s="112">
        <f>O29*O30</f>
        <v>85400</v>
      </c>
      <c r="P31" s="24"/>
      <c r="Q31" s="24"/>
      <c r="R31" s="24"/>
      <c r="S31" s="24"/>
      <c r="T31" s="24"/>
    </row>
    <row r="32" spans="1:20" x14ac:dyDescent="0.25">
      <c r="F32" s="104">
        <v>0</v>
      </c>
      <c r="G32" s="108">
        <v>1403</v>
      </c>
      <c r="H32" s="109">
        <v>0</v>
      </c>
      <c r="I32" s="110">
        <v>1.22</v>
      </c>
      <c r="J32" s="109"/>
      <c r="K32" s="112">
        <f t="shared" si="0"/>
        <v>0</v>
      </c>
      <c r="L32" s="108"/>
      <c r="M32" s="108"/>
      <c r="N32" s="108"/>
      <c r="O32" s="112">
        <f>O31+H31</f>
        <v>155400</v>
      </c>
      <c r="P32" s="24"/>
      <c r="Q32" s="24"/>
      <c r="R32" s="24"/>
      <c r="S32" s="24"/>
      <c r="T32" s="24"/>
    </row>
    <row r="33" spans="7:20" x14ac:dyDescent="0.25">
      <c r="G33" s="24"/>
      <c r="H33" s="26"/>
      <c r="I33" s="27"/>
      <c r="J33" s="26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7:20" x14ac:dyDescent="0.25">
      <c r="G34" s="24"/>
      <c r="H34" s="26"/>
      <c r="I34" s="27"/>
      <c r="J34" s="26"/>
      <c r="K34" s="24"/>
      <c r="L34" s="24"/>
      <c r="M34" s="24"/>
      <c r="N34" s="24"/>
      <c r="O34" s="24"/>
      <c r="P34" s="24"/>
      <c r="Q34" s="24"/>
      <c r="R34" s="24"/>
      <c r="S34" s="24"/>
      <c r="T34" s="24"/>
    </row>
    <row r="35" spans="7:20" x14ac:dyDescent="0.25">
      <c r="G35" s="24"/>
      <c r="H35" s="26"/>
      <c r="I35" s="27"/>
      <c r="J35" s="26"/>
      <c r="K35" s="24"/>
      <c r="L35" s="24"/>
      <c r="M35" s="24"/>
      <c r="N35" s="24"/>
      <c r="O35" s="24"/>
      <c r="P35" s="24"/>
      <c r="Q35" s="24"/>
      <c r="R35" s="24"/>
      <c r="S35" s="24"/>
      <c r="T35" s="2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5"/>
  <sheetViews>
    <sheetView rightToLeft="1" zoomScaleNormal="100" zoomScaleSheetLayoutView="100" workbookViewId="0">
      <selection activeCell="E11" sqref="E11"/>
    </sheetView>
  </sheetViews>
  <sheetFormatPr defaultColWidth="9" defaultRowHeight="14.25" customHeight="1" x14ac:dyDescent="0.25"/>
  <cols>
    <col min="1" max="1" width="1.59765625" style="2" customWidth="1"/>
    <col min="2" max="2" width="5" style="2" customWidth="1"/>
    <col min="3" max="3" width="16.59765625" style="1" bestFit="1" customWidth="1"/>
    <col min="4" max="4" width="6.8984375" style="1" customWidth="1"/>
    <col min="5" max="5" width="14.69921875" style="4" customWidth="1"/>
    <col min="6" max="6" width="10.3984375" style="4" bestFit="1" customWidth="1"/>
    <col min="7" max="7" width="10.59765625" style="4" bestFit="1" customWidth="1"/>
    <col min="8" max="8" width="14" style="4" bestFit="1" customWidth="1"/>
    <col min="9" max="9" width="10.69921875" style="4" bestFit="1" customWidth="1"/>
    <col min="10" max="10" width="14" style="4" bestFit="1" customWidth="1"/>
    <col min="11" max="11" width="10.09765625" style="4" bestFit="1" customWidth="1"/>
    <col min="12" max="12" width="14.3984375" style="4" customWidth="1"/>
    <col min="13" max="21" width="9" style="2" customWidth="1"/>
    <col min="22" max="16384" width="9" style="2"/>
  </cols>
  <sheetData>
    <row r="1" spans="2:12" ht="36" customHeight="1" x14ac:dyDescent="0.25">
      <c r="B1" s="82" t="s">
        <v>53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2:12" ht="36" customHeight="1" x14ac:dyDescent="0.25">
      <c r="B2" s="82" t="s">
        <v>52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2:12" ht="36" customHeight="1" x14ac:dyDescent="0.25"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24" customHeight="1" x14ac:dyDescent="0.25"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2:12" ht="43.5" customHeight="1" x14ac:dyDescent="0.25">
      <c r="B5" s="10" t="s">
        <v>0</v>
      </c>
      <c r="C5" s="10" t="s">
        <v>1</v>
      </c>
      <c r="D5" s="11" t="s">
        <v>28</v>
      </c>
      <c r="E5" s="12" t="s">
        <v>38</v>
      </c>
      <c r="F5" s="12" t="s">
        <v>39</v>
      </c>
      <c r="G5" s="12" t="s">
        <v>43</v>
      </c>
      <c r="H5" s="12" t="s">
        <v>54</v>
      </c>
      <c r="I5" s="12" t="s">
        <v>44</v>
      </c>
      <c r="J5" s="12" t="s">
        <v>50</v>
      </c>
      <c r="K5" s="12" t="s">
        <v>42</v>
      </c>
      <c r="L5" s="12" t="s">
        <v>51</v>
      </c>
    </row>
    <row r="6" spans="2:12" ht="39.75" customHeight="1" x14ac:dyDescent="0.25">
      <c r="B6" s="13">
        <v>1</v>
      </c>
      <c r="C6" s="13" t="s">
        <v>45</v>
      </c>
      <c r="D6" s="9">
        <v>101</v>
      </c>
      <c r="E6" s="3">
        <v>5000000</v>
      </c>
      <c r="F6" s="3" t="s">
        <v>41</v>
      </c>
      <c r="G6" s="7">
        <f t="shared" ref="G6:G10" si="0">IF(F6="سایر سطوح",121%,127%)</f>
        <v>1.21</v>
      </c>
      <c r="H6" s="8">
        <f>E6*G6</f>
        <v>6050000</v>
      </c>
      <c r="I6" s="8">
        <f>IF(F6="سایر سطوح",(83596),0)</f>
        <v>83596</v>
      </c>
      <c r="J6" s="8">
        <f>H6+I6</f>
        <v>6133596</v>
      </c>
      <c r="K6" s="3">
        <v>70000</v>
      </c>
      <c r="L6" s="8">
        <f>J6+K6</f>
        <v>6203596</v>
      </c>
    </row>
    <row r="7" spans="2:12" ht="39.75" customHeight="1" x14ac:dyDescent="0.25">
      <c r="B7" s="13">
        <v>2</v>
      </c>
      <c r="C7" s="13" t="s">
        <v>46</v>
      </c>
      <c r="D7" s="9">
        <v>102</v>
      </c>
      <c r="E7" s="3">
        <v>1393250</v>
      </c>
      <c r="F7" s="3" t="s">
        <v>40</v>
      </c>
      <c r="G7" s="7">
        <f t="shared" si="0"/>
        <v>1.27</v>
      </c>
      <c r="H7" s="8">
        <f t="shared" ref="H7:H10" si="1">E7*G7</f>
        <v>1769427.5</v>
      </c>
      <c r="I7" s="8">
        <f t="shared" ref="I7:I10" si="2">IF(F7="سایر سطوح",(83596),0)</f>
        <v>0</v>
      </c>
      <c r="J7" s="8">
        <f t="shared" ref="J7:J10" si="3">H7+I7</f>
        <v>1769427.5</v>
      </c>
      <c r="K7" s="3">
        <v>70000</v>
      </c>
      <c r="L7" s="8">
        <f t="shared" ref="L7:L10" si="4">J7+K7</f>
        <v>1839427.5</v>
      </c>
    </row>
    <row r="8" spans="2:12" ht="39.75" customHeight="1" x14ac:dyDescent="0.25">
      <c r="B8" s="13">
        <v>3</v>
      </c>
      <c r="C8" s="13" t="s">
        <v>47</v>
      </c>
      <c r="D8" s="9">
        <v>103</v>
      </c>
      <c r="E8" s="3">
        <v>1393250</v>
      </c>
      <c r="F8" s="3" t="s">
        <v>40</v>
      </c>
      <c r="G8" s="7">
        <f t="shared" si="0"/>
        <v>1.27</v>
      </c>
      <c r="H8" s="8">
        <f t="shared" si="1"/>
        <v>1769427.5</v>
      </c>
      <c r="I8" s="8">
        <f t="shared" si="2"/>
        <v>0</v>
      </c>
      <c r="J8" s="8">
        <f t="shared" si="3"/>
        <v>1769427.5</v>
      </c>
      <c r="K8" s="3">
        <v>0</v>
      </c>
      <c r="L8" s="8">
        <f t="shared" si="4"/>
        <v>1769427.5</v>
      </c>
    </row>
    <row r="9" spans="2:12" ht="39.75" customHeight="1" x14ac:dyDescent="0.25">
      <c r="B9" s="13">
        <v>4</v>
      </c>
      <c r="C9" s="13" t="s">
        <v>48</v>
      </c>
      <c r="D9" s="9">
        <v>104</v>
      </c>
      <c r="E9" s="3">
        <v>1393250</v>
      </c>
      <c r="F9" s="3" t="s">
        <v>40</v>
      </c>
      <c r="G9" s="7">
        <f t="shared" si="0"/>
        <v>1.27</v>
      </c>
      <c r="H9" s="8">
        <f t="shared" si="1"/>
        <v>1769427.5</v>
      </c>
      <c r="I9" s="8">
        <f t="shared" si="2"/>
        <v>0</v>
      </c>
      <c r="J9" s="8">
        <f t="shared" si="3"/>
        <v>1769427.5</v>
      </c>
      <c r="K9" s="3">
        <v>0</v>
      </c>
      <c r="L9" s="8">
        <f t="shared" si="4"/>
        <v>1769427.5</v>
      </c>
    </row>
    <row r="10" spans="2:12" ht="39.75" customHeight="1" x14ac:dyDescent="0.25">
      <c r="B10" s="13">
        <v>5</v>
      </c>
      <c r="C10" s="13" t="s">
        <v>49</v>
      </c>
      <c r="D10" s="9">
        <v>105</v>
      </c>
      <c r="E10" s="3">
        <v>6000000</v>
      </c>
      <c r="F10" s="3" t="s">
        <v>41</v>
      </c>
      <c r="G10" s="7">
        <f t="shared" si="0"/>
        <v>1.21</v>
      </c>
      <c r="H10" s="8">
        <f t="shared" si="1"/>
        <v>7260000</v>
      </c>
      <c r="I10" s="8">
        <f t="shared" si="2"/>
        <v>83596</v>
      </c>
      <c r="J10" s="8">
        <f t="shared" si="3"/>
        <v>7343596</v>
      </c>
      <c r="K10" s="3">
        <v>0</v>
      </c>
      <c r="L10" s="8">
        <f t="shared" si="4"/>
        <v>7343596</v>
      </c>
    </row>
    <row r="11" spans="2:12" ht="28.5" customHeight="1" x14ac:dyDescent="0.25">
      <c r="B11" s="14" t="s">
        <v>10</v>
      </c>
      <c r="C11" s="15"/>
      <c r="D11" s="15"/>
      <c r="E11" s="15">
        <f>SUM(E6:E10)</f>
        <v>15179750</v>
      </c>
      <c r="F11" s="15">
        <f t="shared" ref="F11" si="5">SUM(F6:F10)</f>
        <v>0</v>
      </c>
      <c r="G11" s="15"/>
      <c r="H11" s="15">
        <f>SUM(H6:H10)</f>
        <v>18618282.5</v>
      </c>
      <c r="I11" s="15">
        <f>SUM(I6:I10)</f>
        <v>167192</v>
      </c>
      <c r="J11" s="15">
        <f>SUM(J6:J10)</f>
        <v>18785474.5</v>
      </c>
      <c r="K11" s="15">
        <f>SUM(K6:K10)</f>
        <v>140000</v>
      </c>
      <c r="L11" s="15">
        <f>SUM(L6:L10)</f>
        <v>18925474.5</v>
      </c>
    </row>
    <row r="12" spans="2:12" ht="28.5" customHeight="1" x14ac:dyDescent="0.25">
      <c r="E12" s="1"/>
      <c r="F12" s="1"/>
      <c r="G12" s="1"/>
      <c r="H12" s="1"/>
      <c r="I12" s="1"/>
      <c r="J12" s="1"/>
      <c r="K12" s="1"/>
      <c r="L12" s="1"/>
    </row>
    <row r="13" spans="2:12" ht="28.5" customHeight="1" x14ac:dyDescent="0.25">
      <c r="C13" s="5"/>
      <c r="E13" s="1"/>
      <c r="F13" s="1"/>
      <c r="G13" s="1"/>
      <c r="H13" s="1"/>
      <c r="I13" s="1"/>
      <c r="J13" s="1"/>
      <c r="K13" s="1"/>
      <c r="L13" s="1"/>
    </row>
    <row r="14" spans="2:12" ht="28.5" customHeight="1" x14ac:dyDescent="0.25">
      <c r="C14" s="5"/>
      <c r="E14" s="1"/>
      <c r="F14" s="1"/>
      <c r="G14" s="1"/>
      <c r="H14" s="1"/>
      <c r="I14" s="1"/>
      <c r="J14" s="1"/>
      <c r="K14" s="1"/>
      <c r="L14" s="1"/>
    </row>
    <row r="15" spans="2:12" ht="28.5" customHeight="1" x14ac:dyDescent="0.25">
      <c r="C15" s="5"/>
    </row>
  </sheetData>
  <sheetProtection algorithmName="SHA-512" hashValue="AJ4P8jW3EZKSUuXjkum8o1iJzp1PY/6cuaF3F+b/CooBHORvKsXnV2ptR7beLZVUHh81TRbp1WpFEe7Y2VdPYQ==" saltValue="7IK0k9Tx+5ycHgbS7x3LMg==" spinCount="100000" sheet="1" objects="1" scenarios="1"/>
  <mergeCells count="4">
    <mergeCell ref="B3:L3"/>
    <mergeCell ref="B4:L4"/>
    <mergeCell ref="B2:L2"/>
    <mergeCell ref="B1:L1"/>
  </mergeCells>
  <pageMargins left="0.22" right="0.21" top="0.62992125984251968" bottom="0.19685039370078741" header="0.94488188976377963" footer="0.51181102362204722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'منبع '!$D$2:$D$3</xm:f>
          </x14:formula1>
          <xm:sqref>F6:F10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R16"/>
  <sheetViews>
    <sheetView rightToLeft="1" topLeftCell="G1" zoomScaleNormal="100" zoomScaleSheetLayoutView="100" workbookViewId="0">
      <selection activeCell="B1" sqref="B1:R1"/>
    </sheetView>
  </sheetViews>
  <sheetFormatPr defaultColWidth="9" defaultRowHeight="14.25" customHeight="1" x14ac:dyDescent="0.25"/>
  <cols>
    <col min="1" max="1" width="1.59765625" style="2" customWidth="1"/>
    <col min="2" max="2" width="5" style="2" customWidth="1"/>
    <col min="3" max="3" width="16.59765625" style="1" bestFit="1" customWidth="1"/>
    <col min="4" max="4" width="13.8984375" style="4" customWidth="1"/>
    <col min="5" max="5" width="10.59765625" style="4" bestFit="1" customWidth="1"/>
    <col min="6" max="6" width="13.59765625" style="4" bestFit="1" customWidth="1"/>
    <col min="7" max="8" width="11.8984375" style="4" customWidth="1"/>
    <col min="9" max="9" width="10.3984375" style="4" bestFit="1" customWidth="1"/>
    <col min="10" max="10" width="10.59765625" style="4" bestFit="1" customWidth="1"/>
    <col min="11" max="11" width="14" style="4" bestFit="1" customWidth="1"/>
    <col min="12" max="12" width="10.69921875" style="4" bestFit="1" customWidth="1"/>
    <col min="13" max="13" width="14" style="4" bestFit="1" customWidth="1"/>
    <col min="14" max="14" width="14.5" style="4" bestFit="1" customWidth="1"/>
    <col min="15" max="15" width="10.19921875" style="4" customWidth="1"/>
    <col min="16" max="16" width="10.59765625" style="4" customWidth="1"/>
    <col min="17" max="17" width="12" style="4" bestFit="1" customWidth="1"/>
    <col min="18" max="18" width="14.3984375" style="4" customWidth="1"/>
    <col min="19" max="25" width="9" style="2" customWidth="1"/>
    <col min="26" max="16384" width="9" style="2"/>
  </cols>
  <sheetData>
    <row r="1" spans="2:18" ht="24" customHeight="1" x14ac:dyDescent="0.25">
      <c r="B1" s="82" t="str">
        <f>'راهنمای فایل'!O3</f>
        <v>نخبه حساب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2:18" ht="24" customHeight="1" x14ac:dyDescent="0.25">
      <c r="B2" s="82" t="s">
        <v>55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2:18" ht="24" customHeight="1" x14ac:dyDescent="0.25">
      <c r="B3" s="82" t="s">
        <v>65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2:18" ht="9.75" customHeight="1" x14ac:dyDescent="0.25">
      <c r="B4" s="55"/>
      <c r="C4" s="55"/>
      <c r="D4" s="55"/>
      <c r="E4" s="55"/>
      <c r="F4" s="55"/>
      <c r="G4" s="2"/>
      <c r="H4" s="2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2:18" ht="57.75" customHeight="1" x14ac:dyDescent="0.25">
      <c r="B5" s="32" t="s">
        <v>0</v>
      </c>
      <c r="C5" s="32" t="s">
        <v>1</v>
      </c>
      <c r="D5" s="29" t="s">
        <v>63</v>
      </c>
      <c r="E5" s="70" t="s">
        <v>26</v>
      </c>
      <c r="F5" s="29" t="s">
        <v>64</v>
      </c>
      <c r="G5" s="29" t="s">
        <v>119</v>
      </c>
      <c r="H5" s="29" t="s">
        <v>120</v>
      </c>
      <c r="I5" s="29" t="s">
        <v>39</v>
      </c>
      <c r="J5" s="29" t="s">
        <v>43</v>
      </c>
      <c r="K5" s="29" t="s">
        <v>54</v>
      </c>
      <c r="L5" s="29" t="s">
        <v>44</v>
      </c>
      <c r="M5" s="29" t="s">
        <v>87</v>
      </c>
      <c r="N5" s="29" t="s">
        <v>88</v>
      </c>
      <c r="O5" s="29" t="s">
        <v>112</v>
      </c>
      <c r="P5" s="29" t="s">
        <v>79</v>
      </c>
      <c r="Q5" s="29" t="s">
        <v>103</v>
      </c>
      <c r="R5" s="29" t="s">
        <v>56</v>
      </c>
    </row>
    <row r="6" spans="2:18" ht="33.75" customHeight="1" x14ac:dyDescent="0.25">
      <c r="B6" s="33">
        <v>1</v>
      </c>
      <c r="C6" s="33" t="s">
        <v>58</v>
      </c>
      <c r="D6" s="71">
        <v>8000000</v>
      </c>
      <c r="E6" s="8">
        <f>VLOOKUP($E$5,'منبع '!$A$2:$B$13,2,0)</f>
        <v>30</v>
      </c>
      <c r="F6" s="8">
        <f>D6*E6</f>
        <v>240000000</v>
      </c>
      <c r="G6" s="71">
        <v>600000</v>
      </c>
      <c r="H6" s="8">
        <f>G6*E6</f>
        <v>18000000</v>
      </c>
      <c r="I6" s="71" t="s">
        <v>41</v>
      </c>
      <c r="J6" s="7">
        <f>IF(I6="سایر سطوح",122%,1.35000011303088)</f>
        <v>1.22</v>
      </c>
      <c r="K6" s="8">
        <f>(D6+G6)*J6</f>
        <v>10492000</v>
      </c>
      <c r="L6" s="8">
        <f>IF(I6="سایر سطوح",230026,0)</f>
        <v>230026</v>
      </c>
      <c r="M6" s="78">
        <f>K6+L6</f>
        <v>10722026</v>
      </c>
      <c r="N6" s="8">
        <f t="shared" ref="N6:N11" si="0">M6*E6</f>
        <v>321660780</v>
      </c>
      <c r="O6" s="72">
        <v>10</v>
      </c>
      <c r="P6" s="78">
        <f>VLOOKUP(O6,'منبع '!F:H,3,0)</f>
        <v>715797</v>
      </c>
      <c r="Q6" s="8">
        <f t="shared" ref="Q6:Q11" si="1">P6*E6</f>
        <v>21473910</v>
      </c>
      <c r="R6" s="8">
        <f>N6+Q6</f>
        <v>343134690</v>
      </c>
    </row>
    <row r="7" spans="2:18" ht="33.75" customHeight="1" x14ac:dyDescent="0.25">
      <c r="B7" s="33">
        <v>2</v>
      </c>
      <c r="C7" s="33" t="s">
        <v>59</v>
      </c>
      <c r="D7" s="71">
        <v>3000000</v>
      </c>
      <c r="E7" s="8">
        <f>VLOOKUP($E$5,'منبع '!$A$2:$B$13,2,0)</f>
        <v>30</v>
      </c>
      <c r="F7" s="8">
        <f t="shared" ref="F7:F8" si="2">D7*E7</f>
        <v>90000000</v>
      </c>
      <c r="G7" s="71">
        <v>0</v>
      </c>
      <c r="H7" s="8">
        <f t="shared" ref="H7:H10" si="3">G7*E7</f>
        <v>0</v>
      </c>
      <c r="I7" s="71" t="s">
        <v>41</v>
      </c>
      <c r="J7" s="7">
        <f t="shared" ref="J7:J9" si="4">IF(I7="سایر سطوح",122%,1.35000011303088)</f>
        <v>1.22</v>
      </c>
      <c r="K7" s="8">
        <f t="shared" ref="K7:K10" si="5">(D7+G7)*J7</f>
        <v>3660000</v>
      </c>
      <c r="L7" s="8">
        <f t="shared" ref="L7:L10" si="6">IF(I7="سایر سطوح",230026,0)</f>
        <v>230026</v>
      </c>
      <c r="M7" s="78">
        <f t="shared" ref="M7:M9" si="7">K7+L7</f>
        <v>3890026</v>
      </c>
      <c r="N7" s="8">
        <f t="shared" si="0"/>
        <v>116700780</v>
      </c>
      <c r="O7" s="72">
        <v>2</v>
      </c>
      <c r="P7" s="78">
        <f>VLOOKUP(O7,'منبع '!F:H,3,0)</f>
        <v>155400</v>
      </c>
      <c r="Q7" s="8">
        <f t="shared" si="1"/>
        <v>4662000</v>
      </c>
      <c r="R7" s="8">
        <f t="shared" ref="R7:R10" si="8">N7+Q7</f>
        <v>121362780</v>
      </c>
    </row>
    <row r="8" spans="2:18" ht="33.75" customHeight="1" x14ac:dyDescent="0.25">
      <c r="B8" s="33">
        <v>3</v>
      </c>
      <c r="C8" s="33" t="s">
        <v>60</v>
      </c>
      <c r="D8" s="71">
        <v>4000000</v>
      </c>
      <c r="E8" s="8">
        <f>VLOOKUP($E$5,'منبع '!$A$2:$B$13,2,0)</f>
        <v>30</v>
      </c>
      <c r="F8" s="8">
        <f t="shared" si="2"/>
        <v>120000000</v>
      </c>
      <c r="G8" s="71">
        <v>190000</v>
      </c>
      <c r="H8" s="8">
        <f t="shared" si="3"/>
        <v>5700000</v>
      </c>
      <c r="I8" s="71" t="s">
        <v>41</v>
      </c>
      <c r="J8" s="7">
        <f t="shared" si="4"/>
        <v>1.22</v>
      </c>
      <c r="K8" s="8">
        <f>(D8+G8)*J8</f>
        <v>5111800</v>
      </c>
      <c r="L8" s="8">
        <f t="shared" si="6"/>
        <v>230026</v>
      </c>
      <c r="M8" s="78">
        <f t="shared" si="7"/>
        <v>5341826</v>
      </c>
      <c r="N8" s="8">
        <f t="shared" si="0"/>
        <v>160254780</v>
      </c>
      <c r="O8" s="72">
        <v>3</v>
      </c>
      <c r="P8" s="78">
        <f>VLOOKUP(O8,'منبع '!F:H,3,0)</f>
        <v>258734</v>
      </c>
      <c r="Q8" s="8">
        <f t="shared" si="1"/>
        <v>7762020</v>
      </c>
      <c r="R8" s="8">
        <f t="shared" si="8"/>
        <v>168016800</v>
      </c>
    </row>
    <row r="9" spans="2:18" ht="33.75" customHeight="1" x14ac:dyDescent="0.25">
      <c r="B9" s="33">
        <v>4</v>
      </c>
      <c r="C9" s="33" t="s">
        <v>61</v>
      </c>
      <c r="D9" s="71">
        <v>1769428</v>
      </c>
      <c r="E9" s="8">
        <f>VLOOKUP($E$5,'منبع '!$A$2:$B$13,2,0)</f>
        <v>30</v>
      </c>
      <c r="F9" s="8">
        <f>D9*E9</f>
        <v>53082840</v>
      </c>
      <c r="G9" s="71"/>
      <c r="H9" s="8">
        <f t="shared" si="3"/>
        <v>0</v>
      </c>
      <c r="I9" s="71" t="s">
        <v>40</v>
      </c>
      <c r="J9" s="7">
        <f t="shared" si="4"/>
        <v>1.3500001130308801</v>
      </c>
      <c r="K9" s="8">
        <f t="shared" si="5"/>
        <v>2388728.0000000042</v>
      </c>
      <c r="L9" s="8">
        <f t="shared" si="6"/>
        <v>0</v>
      </c>
      <c r="M9" s="78">
        <f t="shared" si="7"/>
        <v>2388728.0000000042</v>
      </c>
      <c r="N9" s="8">
        <f t="shared" si="0"/>
        <v>71661840.000000119</v>
      </c>
      <c r="O9" s="72">
        <v>0</v>
      </c>
      <c r="P9" s="78">
        <f>VLOOKUP(O9,'منبع '!F:H,3,0)</f>
        <v>0</v>
      </c>
      <c r="Q9" s="8">
        <f t="shared" si="1"/>
        <v>0</v>
      </c>
      <c r="R9" s="8">
        <f t="shared" si="8"/>
        <v>71661840.000000119</v>
      </c>
    </row>
    <row r="10" spans="2:18" ht="33.75" customHeight="1" x14ac:dyDescent="0.25">
      <c r="B10" s="33">
        <v>5</v>
      </c>
      <c r="C10" s="33" t="s">
        <v>62</v>
      </c>
      <c r="D10" s="71">
        <v>1769428</v>
      </c>
      <c r="E10" s="8">
        <f>VLOOKUP($E$5,'منبع '!$A$2:$B$13,2,0)</f>
        <v>30</v>
      </c>
      <c r="F10" s="8">
        <f t="shared" ref="F10" si="9">D10*E10</f>
        <v>53082840</v>
      </c>
      <c r="G10" s="71"/>
      <c r="H10" s="8">
        <f t="shared" si="3"/>
        <v>0</v>
      </c>
      <c r="I10" s="71" t="s">
        <v>40</v>
      </c>
      <c r="J10" s="7">
        <f>IF(I10="سایر سطوح",122%,1.35000011303088)</f>
        <v>1.3500001130308801</v>
      </c>
      <c r="K10" s="8">
        <f t="shared" si="5"/>
        <v>2388728.0000000042</v>
      </c>
      <c r="L10" s="8">
        <f t="shared" si="6"/>
        <v>0</v>
      </c>
      <c r="M10" s="78">
        <f t="shared" ref="M10" si="10">K10+L10</f>
        <v>2388728.0000000042</v>
      </c>
      <c r="N10" s="8">
        <f t="shared" si="0"/>
        <v>71661840.000000119</v>
      </c>
      <c r="O10" s="72">
        <v>0</v>
      </c>
      <c r="P10" s="78">
        <f>VLOOKUP(O10,'منبع '!F:H,3,0)</f>
        <v>0</v>
      </c>
      <c r="Q10" s="8">
        <f t="shared" si="1"/>
        <v>0</v>
      </c>
      <c r="R10" s="8">
        <f t="shared" si="8"/>
        <v>71661840.000000119</v>
      </c>
    </row>
    <row r="11" spans="2:18" ht="33.75" customHeight="1" x14ac:dyDescent="0.25">
      <c r="B11" s="33">
        <v>6</v>
      </c>
      <c r="C11" s="33" t="s">
        <v>123</v>
      </c>
      <c r="D11" s="71">
        <v>1769428</v>
      </c>
      <c r="E11" s="8">
        <f>VLOOKUP($E$5,'منبع '!$A$2:$B$13,2,0)</f>
        <v>30</v>
      </c>
      <c r="F11" s="8">
        <f t="shared" ref="F11" si="11">D11*E11</f>
        <v>53082840</v>
      </c>
      <c r="G11" s="71"/>
      <c r="H11" s="8">
        <f t="shared" ref="H11" si="12">G11*E11</f>
        <v>0</v>
      </c>
      <c r="I11" s="71" t="s">
        <v>40</v>
      </c>
      <c r="J11" s="7">
        <f>IF(I11="سایر سطوح",122%,1.35000011303088)</f>
        <v>1.3500001130308801</v>
      </c>
      <c r="K11" s="8">
        <f t="shared" ref="K11" si="13">(D11+G11)*J11</f>
        <v>2388728.0000000042</v>
      </c>
      <c r="L11" s="8">
        <f t="shared" ref="L11" si="14">IF(I11="سایر سطوح",230026,0)</f>
        <v>0</v>
      </c>
      <c r="M11" s="78">
        <f t="shared" ref="M11" si="15">K11+L11</f>
        <v>2388728.0000000042</v>
      </c>
      <c r="N11" s="8">
        <f t="shared" si="0"/>
        <v>71661840.000000119</v>
      </c>
      <c r="O11" s="72">
        <v>0</v>
      </c>
      <c r="P11" s="78">
        <f>VLOOKUP(O11,'منبع '!F:H,3,0)</f>
        <v>0</v>
      </c>
      <c r="Q11" s="8">
        <f t="shared" si="1"/>
        <v>0</v>
      </c>
      <c r="R11" s="8">
        <f t="shared" ref="R11" si="16">N11+Q11</f>
        <v>71661840.000000119</v>
      </c>
    </row>
    <row r="12" spans="2:18" ht="28.5" customHeight="1" x14ac:dyDescent="0.25">
      <c r="B12" s="30" t="s">
        <v>10</v>
      </c>
      <c r="C12" s="31"/>
      <c r="D12" s="31">
        <f>SUM(D6:D11)</f>
        <v>20308284</v>
      </c>
      <c r="E12" s="31">
        <f t="shared" ref="E12:R12" si="17">SUM(E6:E11)</f>
        <v>180</v>
      </c>
      <c r="F12" s="31">
        <f t="shared" si="17"/>
        <v>609248520</v>
      </c>
      <c r="G12" s="31">
        <f t="shared" si="17"/>
        <v>790000</v>
      </c>
      <c r="H12" s="31">
        <f t="shared" si="17"/>
        <v>23700000</v>
      </c>
      <c r="I12" s="31">
        <f t="shared" si="17"/>
        <v>0</v>
      </c>
      <c r="J12" s="31">
        <f t="shared" si="17"/>
        <v>7.710000339092641</v>
      </c>
      <c r="K12" s="31">
        <f t="shared" si="17"/>
        <v>26429984.000000011</v>
      </c>
      <c r="L12" s="31">
        <f t="shared" si="17"/>
        <v>690078</v>
      </c>
      <c r="M12" s="31">
        <f t="shared" si="17"/>
        <v>27120062.000000011</v>
      </c>
      <c r="N12" s="31">
        <f t="shared" si="17"/>
        <v>813601860.00000036</v>
      </c>
      <c r="O12" s="31">
        <f t="shared" si="17"/>
        <v>15</v>
      </c>
      <c r="P12" s="31">
        <f t="shared" si="17"/>
        <v>1129931</v>
      </c>
      <c r="Q12" s="31">
        <f t="shared" si="17"/>
        <v>33897930</v>
      </c>
      <c r="R12" s="31">
        <f t="shared" si="17"/>
        <v>847499790.00000036</v>
      </c>
    </row>
    <row r="13" spans="2:18" ht="28.5" customHeight="1" x14ac:dyDescent="0.25">
      <c r="D13" s="16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2:18" ht="28.5" customHeight="1" x14ac:dyDescent="0.25"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2:18" ht="28.5" customHeight="1" x14ac:dyDescent="0.25"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2:18" ht="28.5" customHeight="1" x14ac:dyDescent="0.25">
      <c r="C16" s="5"/>
    </row>
  </sheetData>
  <sheetProtection algorithmName="SHA-512" hashValue="Rc2KLhWUbj9+4l9qbFbQJCFzHivBHOXg6JidmRu/ifANO2ZGUC4zaY1p07oTMfmA+Yu+jxpj60+rE4ffM7CBNg==" saltValue="IofcRfV26Als4LRJREaduQ==" spinCount="100000" sheet="1" objects="1" scenarios="1"/>
  <dataConsolidate/>
  <mergeCells count="3">
    <mergeCell ref="B1:R1"/>
    <mergeCell ref="B2:R2"/>
    <mergeCell ref="B3:R3"/>
  </mergeCells>
  <phoneticPr fontId="23" type="noConversion"/>
  <pageMargins left="0.22" right="0.21" top="0.62992125984251968" bottom="0.19685039370078741" header="0.94488188976377963" footer="0.51181102362204722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1000000}">
          <x14:formula1>
            <xm:f>'منبع '!$A$2:$A$13</xm:f>
          </x14:formula1>
          <xm:sqref>E5</xm:sqref>
        </x14:dataValidation>
        <x14:dataValidation type="list" allowBlank="1" showInputMessage="1" showErrorMessage="1" xr:uid="{00000000-0002-0000-0200-000000000000}">
          <x14:formula1>
            <xm:f>'منبع '!$D$2:$D$3</xm:f>
          </x14:formula1>
          <xm:sqref>I6:I11</xm:sqref>
        </x14:dataValidation>
        <x14:dataValidation type="list" allowBlank="1" showInputMessage="1" showErrorMessage="1" xr:uid="{1CB0DC80-72FF-44C4-A9C7-21765E844A66}">
          <x14:formula1>
            <xm:f>'منبع '!$F$2:$F$32</xm:f>
          </x14:formula1>
          <xm:sqref>O6:O11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22"/>
  <sheetViews>
    <sheetView rightToLeft="1" tabSelected="1" topLeftCell="G1" zoomScaleNormal="100" zoomScaleSheetLayoutView="100" workbookViewId="0">
      <selection activeCell="B3" sqref="B3:AR3"/>
    </sheetView>
  </sheetViews>
  <sheetFormatPr defaultColWidth="9" defaultRowHeight="14.25" customHeight="1" x14ac:dyDescent="0.25"/>
  <cols>
    <col min="1" max="1" width="1.59765625" style="2" customWidth="1"/>
    <col min="2" max="2" width="5.19921875" style="2" customWidth="1"/>
    <col min="3" max="3" width="19.09765625" style="1" bestFit="1" customWidth="1"/>
    <col min="4" max="4" width="13.5" style="1" bestFit="1" customWidth="1"/>
    <col min="5" max="5" width="9.59765625" style="4" bestFit="1" customWidth="1"/>
    <col min="6" max="6" width="8.69921875" style="4" customWidth="1"/>
    <col min="7" max="7" width="13" style="4" customWidth="1"/>
    <col min="8" max="8" width="14.09765625" style="4" bestFit="1" customWidth="1"/>
    <col min="9" max="9" width="14.3984375" style="4" bestFit="1" customWidth="1"/>
    <col min="10" max="10" width="11.69921875" style="4" bestFit="1" customWidth="1"/>
    <col min="11" max="11" width="7.69921875" style="4" customWidth="1"/>
    <col min="12" max="12" width="13.69921875" style="4" bestFit="1" customWidth="1"/>
    <col min="13" max="13" width="5.3984375" style="4" customWidth="1"/>
    <col min="14" max="14" width="11.09765625" style="4" bestFit="1" customWidth="1"/>
    <col min="15" max="15" width="13.19921875" style="4" bestFit="1" customWidth="1"/>
    <col min="16" max="16" width="4.59765625" style="4" customWidth="1"/>
    <col min="17" max="17" width="0.69921875" style="4" customWidth="1"/>
    <col min="18" max="18" width="4.59765625" style="4" customWidth="1"/>
    <col min="19" max="19" width="11.5" style="4" bestFit="1" customWidth="1"/>
    <col min="20" max="20" width="4.59765625" style="4" customWidth="1"/>
    <col min="21" max="21" width="0.69921875" style="4" customWidth="1"/>
    <col min="22" max="22" width="4.59765625" style="4" customWidth="1"/>
    <col min="23" max="23" width="12.3984375" style="4" bestFit="1" customWidth="1"/>
    <col min="24" max="24" width="4.59765625" style="4" customWidth="1"/>
    <col min="25" max="25" width="0.69921875" style="4" customWidth="1"/>
    <col min="26" max="26" width="4.59765625" style="4" customWidth="1"/>
    <col min="27" max="27" width="11.3984375" style="4" bestFit="1" customWidth="1"/>
    <col min="28" max="28" width="4.59765625" style="4" customWidth="1"/>
    <col min="29" max="29" width="11.3984375" style="4" bestFit="1" customWidth="1"/>
    <col min="30" max="31" width="10.09765625" style="4" customWidth="1"/>
    <col min="32" max="32" width="9.19921875" style="4" bestFit="1" customWidth="1"/>
    <col min="33" max="33" width="13.8984375" style="4" bestFit="1" customWidth="1"/>
    <col min="34" max="34" width="13.5" style="4" bestFit="1" customWidth="1"/>
    <col min="35" max="35" width="11.19921875" style="4" bestFit="1" customWidth="1"/>
    <col min="36" max="36" width="13.5" style="4" bestFit="1" customWidth="1"/>
    <col min="37" max="37" width="11.5" style="4" bestFit="1" customWidth="1"/>
    <col min="38" max="38" width="11.8984375" style="4" bestFit="1" customWidth="1"/>
    <col min="39" max="40" width="12.5" style="2" bestFit="1" customWidth="1"/>
    <col min="41" max="41" width="12.8984375" style="4" bestFit="1" customWidth="1"/>
    <col min="42" max="43" width="12.19921875" style="2" bestFit="1" customWidth="1"/>
    <col min="44" max="44" width="13.3984375" style="2" bestFit="1" customWidth="1"/>
    <col min="45" max="45" width="9.8984375" style="2" customWidth="1"/>
    <col min="46" max="46" width="12.19921875" style="2" customWidth="1"/>
    <col min="47" max="47" width="12.09765625" style="2" bestFit="1" customWidth="1"/>
    <col min="48" max="48" width="5.09765625" style="2" bestFit="1" customWidth="1"/>
    <col min="49" max="50" width="12.09765625" style="2" bestFit="1" customWidth="1"/>
    <col min="51" max="51" width="4.3984375" style="2" customWidth="1"/>
    <col min="52" max="53" width="13.19921875" style="2" customWidth="1"/>
    <col min="54" max="54" width="5.69921875" style="2" customWidth="1"/>
    <col min="55" max="56" width="12.19921875" style="2" customWidth="1"/>
    <col min="57" max="16384" width="9" style="2"/>
  </cols>
  <sheetData>
    <row r="1" spans="1:44" ht="28.5" customHeight="1" x14ac:dyDescent="0.25">
      <c r="A1" s="50" t="str">
        <f>'راهنمای فایل'!O3</f>
        <v>نخبه حساب</v>
      </c>
      <c r="B1" s="82" t="str">
        <f>'راهنمای فایل'!O3</f>
        <v>نخبه حساب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</row>
    <row r="2" spans="1:44" ht="28.5" customHeight="1" x14ac:dyDescent="0.25">
      <c r="A2" s="50" t="str">
        <f>'راهنمای فایل'!O4</f>
        <v>لیست حقوق و دستمزد</v>
      </c>
      <c r="B2" s="82" t="str">
        <f>'راهنمای فایل'!O4</f>
        <v>لیست حقوق و دستمزد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</row>
    <row r="3" spans="1:44" ht="28.5" customHeight="1" thickBot="1" x14ac:dyDescent="0.3">
      <c r="A3" s="50" t="str">
        <f>'راهنمای فایل'!O5</f>
        <v>آبان ماه 1403</v>
      </c>
      <c r="B3" s="82" t="str">
        <f>'راهنمای فایل'!O5</f>
        <v>آبان ماه 1403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</row>
    <row r="4" spans="1:44" ht="24" customHeight="1" x14ac:dyDescent="0.25">
      <c r="B4" s="6"/>
      <c r="C4" s="51" t="s">
        <v>106</v>
      </c>
      <c r="D4" s="52">
        <v>2388728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9"/>
      <c r="AK4" s="6"/>
      <c r="AL4" s="59"/>
      <c r="AN4" s="59"/>
      <c r="AO4" s="6"/>
      <c r="AP4" s="6"/>
      <c r="AQ4" s="6"/>
    </row>
    <row r="5" spans="1:44" ht="18" customHeight="1" x14ac:dyDescent="0.55000000000000004">
      <c r="B5" s="84" t="s">
        <v>0</v>
      </c>
      <c r="C5" s="100" t="s">
        <v>115</v>
      </c>
      <c r="D5" s="100"/>
      <c r="E5" s="100"/>
      <c r="F5" s="22">
        <f>VLOOKUP($F$6,'منبع '!$A$2:$B$13,2,0)</f>
        <v>30</v>
      </c>
      <c r="G5" s="97" t="s">
        <v>89</v>
      </c>
      <c r="H5" s="99"/>
      <c r="I5" s="101" t="s">
        <v>118</v>
      </c>
      <c r="J5" s="102"/>
      <c r="K5" s="102"/>
      <c r="L5" s="102"/>
      <c r="M5" s="102"/>
      <c r="N5" s="103"/>
      <c r="O5" s="89" t="s">
        <v>2</v>
      </c>
      <c r="P5" s="97" t="s">
        <v>3</v>
      </c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9"/>
      <c r="AG5" s="89" t="s">
        <v>4</v>
      </c>
      <c r="AH5" s="97" t="s">
        <v>5</v>
      </c>
      <c r="AI5" s="98"/>
      <c r="AJ5" s="99"/>
      <c r="AK5" s="97" t="s">
        <v>117</v>
      </c>
      <c r="AL5" s="98"/>
      <c r="AM5" s="98"/>
      <c r="AN5" s="99"/>
      <c r="AO5" s="97" t="s">
        <v>6</v>
      </c>
      <c r="AP5" s="98"/>
      <c r="AQ5" s="99"/>
      <c r="AR5" s="89" t="s">
        <v>31</v>
      </c>
    </row>
    <row r="6" spans="1:44" ht="42" customHeight="1" x14ac:dyDescent="0.25">
      <c r="B6" s="85"/>
      <c r="C6" s="53" t="s">
        <v>1</v>
      </c>
      <c r="D6" s="54" t="s">
        <v>32</v>
      </c>
      <c r="E6" s="54" t="s">
        <v>91</v>
      </c>
      <c r="F6" s="64" t="s">
        <v>25</v>
      </c>
      <c r="G6" s="22" t="s">
        <v>90</v>
      </c>
      <c r="H6" s="22" t="s">
        <v>42</v>
      </c>
      <c r="I6" s="22" t="s">
        <v>7</v>
      </c>
      <c r="J6" s="22" t="s">
        <v>8</v>
      </c>
      <c r="K6" s="22" t="s">
        <v>95</v>
      </c>
      <c r="L6" s="22" t="s">
        <v>94</v>
      </c>
      <c r="M6" s="57" t="s">
        <v>121</v>
      </c>
      <c r="N6" s="22" t="s">
        <v>9</v>
      </c>
      <c r="O6" s="90"/>
      <c r="P6" s="94" t="s">
        <v>11</v>
      </c>
      <c r="Q6" s="95"/>
      <c r="R6" s="96"/>
      <c r="S6" s="66">
        <v>220</v>
      </c>
      <c r="T6" s="94" t="s">
        <v>36</v>
      </c>
      <c r="U6" s="95"/>
      <c r="V6" s="96"/>
      <c r="W6" s="22" t="s">
        <v>35</v>
      </c>
      <c r="X6" s="94" t="s">
        <v>98</v>
      </c>
      <c r="Y6" s="95"/>
      <c r="Z6" s="96"/>
      <c r="AA6" s="22" t="s">
        <v>99</v>
      </c>
      <c r="AB6" s="58" t="s">
        <v>122</v>
      </c>
      <c r="AC6" s="22" t="s">
        <v>105</v>
      </c>
      <c r="AD6" s="22" t="s">
        <v>57</v>
      </c>
      <c r="AE6" s="22" t="s">
        <v>29</v>
      </c>
      <c r="AF6" s="22" t="s">
        <v>30</v>
      </c>
      <c r="AG6" s="90"/>
      <c r="AH6" s="23" t="s">
        <v>33</v>
      </c>
      <c r="AI6" s="69" t="s">
        <v>97</v>
      </c>
      <c r="AJ6" s="23" t="s">
        <v>34</v>
      </c>
      <c r="AK6" s="22" t="s">
        <v>116</v>
      </c>
      <c r="AL6" s="22" t="s">
        <v>13</v>
      </c>
      <c r="AM6" s="22" t="s">
        <v>113</v>
      </c>
      <c r="AN6" s="22" t="s">
        <v>114</v>
      </c>
      <c r="AO6" s="22" t="s">
        <v>14</v>
      </c>
      <c r="AP6" s="22" t="s">
        <v>15</v>
      </c>
      <c r="AQ6" s="22" t="s">
        <v>16</v>
      </c>
      <c r="AR6" s="90"/>
    </row>
    <row r="7" spans="1:44" ht="38.25" customHeight="1" x14ac:dyDescent="0.25">
      <c r="B7" s="21">
        <v>1</v>
      </c>
      <c r="C7" s="60" t="s">
        <v>58</v>
      </c>
      <c r="D7" s="61">
        <v>10722026</v>
      </c>
      <c r="E7" s="61">
        <v>258734</v>
      </c>
      <c r="F7" s="62">
        <v>30</v>
      </c>
      <c r="G7" s="73">
        <f>D7*F7</f>
        <v>321660780</v>
      </c>
      <c r="H7" s="73">
        <f>F7*E7</f>
        <v>7762020</v>
      </c>
      <c r="I7" s="73">
        <f>9000000*(F7/$F$5)</f>
        <v>9000000</v>
      </c>
      <c r="J7" s="73">
        <f>14000000*(F7/$F$5)</f>
        <v>14000000</v>
      </c>
      <c r="K7" s="62" t="s">
        <v>69</v>
      </c>
      <c r="L7" s="73">
        <f>IF(K7="متاهل",(5000000*F7/$F$5),0)</f>
        <v>5000000</v>
      </c>
      <c r="M7" s="62">
        <v>3</v>
      </c>
      <c r="N7" s="73">
        <f>(M7*$D$4*3)*F7/$F$5</f>
        <v>21498552</v>
      </c>
      <c r="O7" s="73">
        <f>G7+H7+I7+J7+L7+N7</f>
        <v>378921352</v>
      </c>
      <c r="P7" s="65">
        <v>46</v>
      </c>
      <c r="Q7" s="34" t="s">
        <v>21</v>
      </c>
      <c r="R7" s="62">
        <v>5</v>
      </c>
      <c r="S7" s="73">
        <f>ROUND((((D7+E7)*30)*1.4*R7)/$S$6,0)+(((D7+E7)*30)*1.4*(P7/60))/$S$6</f>
        <v>12088818.963636363</v>
      </c>
      <c r="T7" s="65">
        <v>0</v>
      </c>
      <c r="U7" s="34" t="s">
        <v>21</v>
      </c>
      <c r="V7" s="62">
        <v>3</v>
      </c>
      <c r="W7" s="73">
        <f>ROUND((((((D7+E7)/7.33)*1.4)*V7)+((((D7+E7)/7.33)*1.4)*T7/60)),0)</f>
        <v>6291841</v>
      </c>
      <c r="X7" s="65">
        <v>0</v>
      </c>
      <c r="Y7" s="67" t="s">
        <v>21</v>
      </c>
      <c r="Z7" s="62">
        <v>2</v>
      </c>
      <c r="AA7" s="73">
        <f>ROUND((((((D7+E7)*30)/(30*7.33)*1.35)*Z7)+((((D7+E7)*30)/(30*7.33)*1.35)*X7/60)),0)</f>
        <v>4044755</v>
      </c>
      <c r="AB7" s="62">
        <v>4</v>
      </c>
      <c r="AC7" s="73">
        <f>(D7+E7)*AB7</f>
        <v>43923040</v>
      </c>
      <c r="AD7" s="62">
        <v>2000000</v>
      </c>
      <c r="AE7" s="62">
        <v>5000000</v>
      </c>
      <c r="AF7" s="62">
        <v>3000000</v>
      </c>
      <c r="AG7" s="73">
        <f>O7+S7+W7+AA7+AC7+AD7+AE7+AF7</f>
        <v>455269806.96363634</v>
      </c>
      <c r="AH7" s="73">
        <f>IF((AG7-N7-AC7)&gt;$D$4*7*F7,$D$4*7*F7,AG7-N7-AC7)</f>
        <v>389848214.96363634</v>
      </c>
      <c r="AI7" s="73">
        <f>IF($AI$6='منبع '!$A$17,AK7*'منبع '!$B$17,AK7*'منبع '!$B$18)</f>
        <v>27289375.047454543</v>
      </c>
      <c r="AJ7" s="73">
        <f>AG7-(AI7+AC7)</f>
        <v>384057391.9161818</v>
      </c>
      <c r="AK7" s="73">
        <f>AH7*7/100</f>
        <v>27289375.047454543</v>
      </c>
      <c r="AL7" s="73">
        <f>IF(AJ7&lt;=$C$16,0,IF(AJ7&lt;=$C$17,((AJ7-$C$16)*$E$17/100),IF(AJ7&lt;=$C$18,(((AJ7-$C$17)*$E$18/100)+$G$17),IF(AJ7&lt;=$C$19,(((AJ7-$C$18)*$E$19/100)+$G$18),IF(AJ7&lt;=$C$20,(((AJ7-$C$19)*$E$20/100)+$G$19),22)))))</f>
        <v>43061478.383236364</v>
      </c>
      <c r="AM7" s="62">
        <v>10000000</v>
      </c>
      <c r="AN7" s="62">
        <v>5560000</v>
      </c>
      <c r="AO7" s="73">
        <f>ROUND(AH7*20/100,0)</f>
        <v>77969643</v>
      </c>
      <c r="AP7" s="73">
        <f>ROUND(AH7*3/100,0)</f>
        <v>11695446</v>
      </c>
      <c r="AQ7" s="73">
        <f>AK7+AO7+AP7</f>
        <v>116954464.04745454</v>
      </c>
      <c r="AR7" s="77">
        <f>AG7-AK7-AL7-AM7-AN7</f>
        <v>369358953.53294545</v>
      </c>
    </row>
    <row r="8" spans="1:44" ht="38.25" customHeight="1" x14ac:dyDescent="0.25">
      <c r="B8" s="21">
        <v>2</v>
      </c>
      <c r="C8" s="60" t="s">
        <v>59</v>
      </c>
      <c r="D8" s="61">
        <v>3890026</v>
      </c>
      <c r="E8" s="61">
        <v>155400</v>
      </c>
      <c r="F8" s="62">
        <v>30</v>
      </c>
      <c r="G8" s="73">
        <f>D8*F8</f>
        <v>116700780</v>
      </c>
      <c r="H8" s="73">
        <f>F8*E8</f>
        <v>4662000</v>
      </c>
      <c r="I8" s="73">
        <f>9000000*(F8/$F$5)</f>
        <v>9000000</v>
      </c>
      <c r="J8" s="73">
        <f>14000000*(F8/$F$5)</f>
        <v>14000000</v>
      </c>
      <c r="K8" s="62" t="s">
        <v>69</v>
      </c>
      <c r="L8" s="73">
        <f t="shared" ref="L8:L11" si="0">IF(K8="متاهل",(5000000*F8/$F$5),0)</f>
        <v>5000000</v>
      </c>
      <c r="M8" s="62">
        <v>0</v>
      </c>
      <c r="N8" s="73">
        <f>(M8*$D$4*3)*F8/$F$5</f>
        <v>0</v>
      </c>
      <c r="O8" s="73">
        <f t="shared" ref="O8:O11" si="1">G8+H8+I8+J8+L8+N8</f>
        <v>149362780</v>
      </c>
      <c r="P8" s="65">
        <v>0</v>
      </c>
      <c r="Q8" s="34" t="s">
        <v>21</v>
      </c>
      <c r="R8" s="62">
        <v>30</v>
      </c>
      <c r="S8" s="73">
        <f>ROUND((((D8+E8)*30)*1.4*R8)/$S$6,0)+(((D8+E8)*30)*1.4*(P8/60))/$S$6</f>
        <v>23169258</v>
      </c>
      <c r="T8" s="65"/>
      <c r="U8" s="34" t="s">
        <v>21</v>
      </c>
      <c r="V8" s="62"/>
      <c r="W8" s="73">
        <f t="shared" ref="W8:W11" si="2">ROUND((((((D8+E8)/7.33)*1.4)*V8)+((((D8+E8)/7.33)*1.4)*T8/60)),0)</f>
        <v>0</v>
      </c>
      <c r="X8" s="65"/>
      <c r="Y8" s="67" t="s">
        <v>21</v>
      </c>
      <c r="Z8" s="62"/>
      <c r="AA8" s="73">
        <f t="shared" ref="AA8:AA11" si="3">ROUND((((((D8+E8)*30)/(30*7.33)*1.35)*Z8)+((((D8+E8)*30)/(30*7.33)*1.35)*X8/60)),0)</f>
        <v>0</v>
      </c>
      <c r="AB8" s="62"/>
      <c r="AC8" s="73">
        <f>(D8+E8)*AB8</f>
        <v>0</v>
      </c>
      <c r="AD8" s="62">
        <v>0</v>
      </c>
      <c r="AE8" s="62">
        <v>0</v>
      </c>
      <c r="AF8" s="62">
        <v>0</v>
      </c>
      <c r="AG8" s="73">
        <f t="shared" ref="AG8:AG11" si="4">O8+S8+W8+AA8+AC8+AD8+AE8+AF8</f>
        <v>172532038</v>
      </c>
      <c r="AH8" s="73">
        <f t="shared" ref="AH8:AH11" si="5">IF((AG8-N8-AC8)&gt;$D$4*7*F8,$D$4*7*F8,AG8-N8-AC8)</f>
        <v>172532038</v>
      </c>
      <c r="AI8" s="73">
        <f>IF($AI$6='منبع '!$A$17,AK8*'منبع '!$B$17,AK8*'منبع '!$B$18)</f>
        <v>12077242.66</v>
      </c>
      <c r="AJ8" s="73">
        <f t="shared" ref="AJ8:AJ11" si="6">AG8-(AI8+AC8)</f>
        <v>160454795.34</v>
      </c>
      <c r="AK8" s="73">
        <f>AH8*7/100</f>
        <v>12077242.66</v>
      </c>
      <c r="AL8" s="73">
        <f t="shared" ref="AL8:AL11" si="7">IF(AJ8&lt;=$C$16,0,IF(AJ8&lt;=$C$17,((AJ8-$C$16)*$E$17/100),IF(AJ8&lt;=$C$18,(((AJ8-$C$17)*$E$18/100)+$G$17),IF(AJ8&lt;=$C$19,(((AJ8-$C$18)*$E$19/100)+$G$18),IF(AJ8&lt;=$C$20,(((AJ8-$C$19)*$E$20/100)+$G$19),22)))))</f>
        <v>4045479.5340000005</v>
      </c>
      <c r="AM8" s="62">
        <v>0</v>
      </c>
      <c r="AN8" s="62">
        <v>0</v>
      </c>
      <c r="AO8" s="73">
        <f>ROUND(AH8*20/100,0)</f>
        <v>34506408</v>
      </c>
      <c r="AP8" s="73">
        <f>ROUND(AH8*3/100,0)</f>
        <v>5175961</v>
      </c>
      <c r="AQ8" s="73">
        <f>AK8+AO8+AP8</f>
        <v>51759611.659999996</v>
      </c>
      <c r="AR8" s="77">
        <f t="shared" ref="AR8:AR11" si="8">AG8-AK8-AL8-AM8-AN8</f>
        <v>156409315.80599999</v>
      </c>
    </row>
    <row r="9" spans="1:44" ht="38.25" customHeight="1" x14ac:dyDescent="0.25">
      <c r="B9" s="21">
        <v>3</v>
      </c>
      <c r="C9" s="60" t="s">
        <v>60</v>
      </c>
      <c r="D9" s="61">
        <v>5341826</v>
      </c>
      <c r="E9" s="61">
        <v>258734</v>
      </c>
      <c r="F9" s="62">
        <v>30</v>
      </c>
      <c r="G9" s="73">
        <f>D9*F9</f>
        <v>160254780</v>
      </c>
      <c r="H9" s="73">
        <f t="shared" ref="H9:H11" si="9">F9*E9</f>
        <v>7762020</v>
      </c>
      <c r="I9" s="73">
        <f>9000000*(F9/$F$5)</f>
        <v>9000000</v>
      </c>
      <c r="J9" s="73">
        <f>14000000*(F9/$F$5)</f>
        <v>14000000</v>
      </c>
      <c r="K9" s="62" t="s">
        <v>69</v>
      </c>
      <c r="L9" s="73">
        <f t="shared" si="0"/>
        <v>5000000</v>
      </c>
      <c r="M9" s="62">
        <v>0</v>
      </c>
      <c r="N9" s="73">
        <f>(M9*$D$4*3)*F9/$F$5</f>
        <v>0</v>
      </c>
      <c r="O9" s="73">
        <f t="shared" si="1"/>
        <v>196016800</v>
      </c>
      <c r="P9" s="65">
        <v>14</v>
      </c>
      <c r="Q9" s="34" t="s">
        <v>21</v>
      </c>
      <c r="R9" s="62">
        <v>39</v>
      </c>
      <c r="S9" s="73">
        <f t="shared" ref="S9:S11" si="10">ROUND((((D9+E9)*30)*1.4*R9)/$S$6,0)+(((D9+E9)*30)*1.4*(P9/60))/$S$6</f>
        <v>41948194.490909092</v>
      </c>
      <c r="T9" s="65">
        <v>35</v>
      </c>
      <c r="U9" s="34" t="s">
        <v>21</v>
      </c>
      <c r="V9" s="62">
        <v>3</v>
      </c>
      <c r="W9" s="73">
        <f t="shared" si="2"/>
        <v>3833034</v>
      </c>
      <c r="X9" s="65">
        <v>35</v>
      </c>
      <c r="Y9" s="67" t="s">
        <v>21</v>
      </c>
      <c r="Z9" s="62">
        <v>3</v>
      </c>
      <c r="AA9" s="73">
        <f>ROUND((((((D9+E9)*30)/(30*7.33)*1.35)*Z9)+((((D9+E9)*30)/(30*7.33)*1.35)*X9/60)),0)</f>
        <v>3696140</v>
      </c>
      <c r="AB9" s="62">
        <v>3</v>
      </c>
      <c r="AC9" s="73">
        <f>(D9+E9)*AB9</f>
        <v>16801680</v>
      </c>
      <c r="AD9" s="68">
        <f>18000000+(18000000*27%)</f>
        <v>22860000</v>
      </c>
      <c r="AE9" s="68">
        <f>8000000+(8000000*27%)</f>
        <v>10160000</v>
      </c>
      <c r="AF9" s="68">
        <f>4000000+(4000000*27%)</f>
        <v>5080000</v>
      </c>
      <c r="AG9" s="73">
        <f t="shared" si="4"/>
        <v>300395848.4909091</v>
      </c>
      <c r="AH9" s="73">
        <f t="shared" si="5"/>
        <v>283594168.4909091</v>
      </c>
      <c r="AI9" s="73">
        <f>IF($AI$6='منبع '!$A$17,AK9*'منبع '!$B$17,AK9*'منبع '!$B$18)</f>
        <v>19851591.794363637</v>
      </c>
      <c r="AJ9" s="73">
        <f t="shared" si="6"/>
        <v>263742576.69654548</v>
      </c>
      <c r="AK9" s="73">
        <f>AH9*7/100</f>
        <v>19851591.794363637</v>
      </c>
      <c r="AL9" s="73">
        <f t="shared" si="7"/>
        <v>19311386.504481822</v>
      </c>
      <c r="AM9" s="62">
        <v>0</v>
      </c>
      <c r="AN9" s="62">
        <v>0</v>
      </c>
      <c r="AO9" s="73">
        <f>ROUND(AH9*20/100,0)</f>
        <v>56718834</v>
      </c>
      <c r="AP9" s="73">
        <f>ROUND(AH9*3/100,0)</f>
        <v>8507825</v>
      </c>
      <c r="AQ9" s="73">
        <f>AK9+AO9+AP9</f>
        <v>85078250.794363633</v>
      </c>
      <c r="AR9" s="77">
        <f t="shared" si="8"/>
        <v>261232870.19206366</v>
      </c>
    </row>
    <row r="10" spans="1:44" ht="38.25" customHeight="1" x14ac:dyDescent="0.25">
      <c r="B10" s="21">
        <v>4</v>
      </c>
      <c r="C10" s="63" t="s">
        <v>61</v>
      </c>
      <c r="D10" s="61">
        <v>2388728.0000000042</v>
      </c>
      <c r="E10" s="61">
        <v>0</v>
      </c>
      <c r="F10" s="62">
        <v>30</v>
      </c>
      <c r="G10" s="73">
        <f>D10*F10</f>
        <v>71661840.000000119</v>
      </c>
      <c r="H10" s="73">
        <f t="shared" si="9"/>
        <v>0</v>
      </c>
      <c r="I10" s="73">
        <f>9000000*(F10/$F$5)</f>
        <v>9000000</v>
      </c>
      <c r="J10" s="73">
        <f>14000000*(F10/$F$5)</f>
        <v>14000000</v>
      </c>
      <c r="K10" s="62" t="s">
        <v>69</v>
      </c>
      <c r="L10" s="73">
        <f t="shared" si="0"/>
        <v>5000000</v>
      </c>
      <c r="M10" s="62">
        <v>0</v>
      </c>
      <c r="N10" s="73">
        <f>(M10*$D$4*3)*F10/$F$5</f>
        <v>0</v>
      </c>
      <c r="O10" s="73">
        <f t="shared" si="1"/>
        <v>99661840.000000119</v>
      </c>
      <c r="P10" s="65"/>
      <c r="Q10" s="34" t="s">
        <v>21</v>
      </c>
      <c r="R10" s="62"/>
      <c r="S10" s="73">
        <f t="shared" si="10"/>
        <v>0</v>
      </c>
      <c r="T10" s="65">
        <v>0</v>
      </c>
      <c r="U10" s="34" t="s">
        <v>21</v>
      </c>
      <c r="V10" s="62">
        <v>0</v>
      </c>
      <c r="W10" s="73">
        <f t="shared" si="2"/>
        <v>0</v>
      </c>
      <c r="X10" s="65">
        <v>0</v>
      </c>
      <c r="Y10" s="67" t="s">
        <v>21</v>
      </c>
      <c r="Z10" s="62">
        <v>0</v>
      </c>
      <c r="AA10" s="73">
        <f t="shared" si="3"/>
        <v>0</v>
      </c>
      <c r="AB10" s="62">
        <v>0</v>
      </c>
      <c r="AC10" s="73">
        <f>(D10+E10)*AB10</f>
        <v>0</v>
      </c>
      <c r="AD10" s="68">
        <v>0</v>
      </c>
      <c r="AE10" s="68">
        <v>0</v>
      </c>
      <c r="AF10" s="68">
        <v>0</v>
      </c>
      <c r="AG10" s="73">
        <f t="shared" si="4"/>
        <v>99661840.000000119</v>
      </c>
      <c r="AH10" s="73">
        <f t="shared" si="5"/>
        <v>99661840.000000119</v>
      </c>
      <c r="AI10" s="73">
        <f>IF($AI$6='منبع '!$A$17,AK10*'منبع '!$B$17,AK10*'منبع '!$B$18)</f>
        <v>6976328.8000000082</v>
      </c>
      <c r="AJ10" s="73">
        <f t="shared" si="6"/>
        <v>92685511.200000107</v>
      </c>
      <c r="AK10" s="73">
        <f>AH10*7/100</f>
        <v>6976328.8000000082</v>
      </c>
      <c r="AL10" s="73">
        <f t="shared" si="7"/>
        <v>0</v>
      </c>
      <c r="AM10" s="62">
        <v>0</v>
      </c>
      <c r="AN10" s="62">
        <v>0</v>
      </c>
      <c r="AO10" s="73">
        <f>ROUND(AH10*20/100,0)</f>
        <v>19932368</v>
      </c>
      <c r="AP10" s="73">
        <f>ROUND(AH10*3/100,0)</f>
        <v>2989855</v>
      </c>
      <c r="AQ10" s="73">
        <f>AK10+AO10+AP10</f>
        <v>29898551.800000008</v>
      </c>
      <c r="AR10" s="77">
        <f t="shared" si="8"/>
        <v>92685511.200000107</v>
      </c>
    </row>
    <row r="11" spans="1:44" ht="38.25" customHeight="1" x14ac:dyDescent="0.25">
      <c r="B11" s="21">
        <v>5</v>
      </c>
      <c r="C11" s="63" t="s">
        <v>62</v>
      </c>
      <c r="D11" s="61">
        <v>2388728.0000000042</v>
      </c>
      <c r="E11" s="61">
        <v>0</v>
      </c>
      <c r="F11" s="62">
        <v>30</v>
      </c>
      <c r="G11" s="73">
        <f>D11*F11</f>
        <v>71661840.000000119</v>
      </c>
      <c r="H11" s="73">
        <f t="shared" si="9"/>
        <v>0</v>
      </c>
      <c r="I11" s="73">
        <f>9000000*(F11/$F$5)</f>
        <v>9000000</v>
      </c>
      <c r="J11" s="73">
        <f>14000000*(F11/$F$5)</f>
        <v>14000000</v>
      </c>
      <c r="K11" s="62" t="s">
        <v>71</v>
      </c>
      <c r="L11" s="73">
        <f t="shared" si="0"/>
        <v>0</v>
      </c>
      <c r="M11" s="62"/>
      <c r="N11" s="73">
        <f>(M11*$D$4*3)*F11/$F$5</f>
        <v>0</v>
      </c>
      <c r="O11" s="73">
        <f t="shared" si="1"/>
        <v>94661840.000000119</v>
      </c>
      <c r="P11" s="65">
        <v>12</v>
      </c>
      <c r="Q11" s="34" t="s">
        <v>21</v>
      </c>
      <c r="R11" s="62">
        <v>24</v>
      </c>
      <c r="S11" s="73">
        <f t="shared" si="10"/>
        <v>11035922.978181819</v>
      </c>
      <c r="T11" s="65">
        <v>0</v>
      </c>
      <c r="U11" s="34" t="s">
        <v>21</v>
      </c>
      <c r="V11" s="62">
        <v>0</v>
      </c>
      <c r="W11" s="73">
        <f t="shared" si="2"/>
        <v>0</v>
      </c>
      <c r="X11" s="65">
        <v>0</v>
      </c>
      <c r="Y11" s="67" t="s">
        <v>21</v>
      </c>
      <c r="Z11" s="62">
        <v>0</v>
      </c>
      <c r="AA11" s="73">
        <f t="shared" si="3"/>
        <v>0</v>
      </c>
      <c r="AB11" s="62">
        <v>0</v>
      </c>
      <c r="AC11" s="73">
        <f>(D11+E11)*AB11</f>
        <v>0</v>
      </c>
      <c r="AD11" s="62">
        <v>0</v>
      </c>
      <c r="AE11" s="62">
        <v>0</v>
      </c>
      <c r="AF11" s="62">
        <v>0</v>
      </c>
      <c r="AG11" s="73">
        <f t="shared" si="4"/>
        <v>105697762.97818194</v>
      </c>
      <c r="AH11" s="73">
        <f t="shared" si="5"/>
        <v>105697762.97818194</v>
      </c>
      <c r="AI11" s="73">
        <f>IF($AI$6='منبع '!$A$17,AK11*'منبع '!$B$17,AK11*'منبع '!$B$18)</f>
        <v>7398843.4084727354</v>
      </c>
      <c r="AJ11" s="73">
        <f t="shared" si="6"/>
        <v>98298919.569709212</v>
      </c>
      <c r="AK11" s="73">
        <f>AH11*7/100</f>
        <v>7398843.4084727354</v>
      </c>
      <c r="AL11" s="73">
        <f t="shared" si="7"/>
        <v>0</v>
      </c>
      <c r="AM11" s="62">
        <v>0</v>
      </c>
      <c r="AN11" s="62">
        <v>0</v>
      </c>
      <c r="AO11" s="73">
        <f>ROUND(AH11*20/100,0)</f>
        <v>21139553</v>
      </c>
      <c r="AP11" s="73">
        <f>ROUND(AH11*3/100,0)</f>
        <v>3170933</v>
      </c>
      <c r="AQ11" s="73">
        <f>AK11+AO11+AP11</f>
        <v>31709329.408472735</v>
      </c>
      <c r="AR11" s="77">
        <f t="shared" si="8"/>
        <v>98298919.569709212</v>
      </c>
    </row>
    <row r="12" spans="1:44" ht="28.5" customHeight="1" x14ac:dyDescent="0.25">
      <c r="B12" s="74" t="s">
        <v>10</v>
      </c>
      <c r="C12" s="75"/>
      <c r="D12" s="76">
        <f t="shared" ref="D12:AG12" si="11">SUM(D7:D11)</f>
        <v>24731334.000000007</v>
      </c>
      <c r="E12" s="76">
        <f t="shared" si="11"/>
        <v>672868</v>
      </c>
      <c r="F12" s="76">
        <f t="shared" si="11"/>
        <v>150</v>
      </c>
      <c r="G12" s="76">
        <f t="shared" si="11"/>
        <v>741940020.00000024</v>
      </c>
      <c r="H12" s="76">
        <f t="shared" si="11"/>
        <v>20186040</v>
      </c>
      <c r="I12" s="76">
        <f t="shared" si="11"/>
        <v>45000000</v>
      </c>
      <c r="J12" s="76">
        <f t="shared" si="11"/>
        <v>70000000</v>
      </c>
      <c r="K12" s="76">
        <f t="shared" si="11"/>
        <v>0</v>
      </c>
      <c r="L12" s="76">
        <f t="shared" si="11"/>
        <v>20000000</v>
      </c>
      <c r="M12" s="76">
        <f t="shared" si="11"/>
        <v>3</v>
      </c>
      <c r="N12" s="76">
        <f t="shared" si="11"/>
        <v>21498552</v>
      </c>
      <c r="O12" s="76">
        <f t="shared" si="11"/>
        <v>918624612.00000024</v>
      </c>
      <c r="P12" s="76">
        <f t="shared" si="11"/>
        <v>72</v>
      </c>
      <c r="Q12" s="76">
        <f t="shared" si="11"/>
        <v>0</v>
      </c>
      <c r="R12" s="76">
        <f t="shared" si="11"/>
        <v>98</v>
      </c>
      <c r="S12" s="76">
        <f t="shared" si="11"/>
        <v>88242194.432727277</v>
      </c>
      <c r="T12" s="76">
        <f t="shared" si="11"/>
        <v>35</v>
      </c>
      <c r="U12" s="76">
        <f t="shared" si="11"/>
        <v>0</v>
      </c>
      <c r="V12" s="76">
        <f t="shared" si="11"/>
        <v>6</v>
      </c>
      <c r="W12" s="76">
        <f t="shared" si="11"/>
        <v>10124875</v>
      </c>
      <c r="X12" s="76">
        <f t="shared" si="11"/>
        <v>35</v>
      </c>
      <c r="Y12" s="76">
        <f t="shared" si="11"/>
        <v>0</v>
      </c>
      <c r="Z12" s="76">
        <f t="shared" si="11"/>
        <v>5</v>
      </c>
      <c r="AA12" s="76">
        <f t="shared" si="11"/>
        <v>7740895</v>
      </c>
      <c r="AB12" s="76">
        <f t="shared" si="11"/>
        <v>7</v>
      </c>
      <c r="AC12" s="76">
        <f t="shared" si="11"/>
        <v>60724720</v>
      </c>
      <c r="AD12" s="76">
        <f t="shared" si="11"/>
        <v>24860000</v>
      </c>
      <c r="AE12" s="76">
        <f t="shared" si="11"/>
        <v>15160000</v>
      </c>
      <c r="AF12" s="76">
        <f t="shared" si="11"/>
        <v>8080000</v>
      </c>
      <c r="AG12" s="76">
        <f t="shared" si="11"/>
        <v>1133557296.4327276</v>
      </c>
      <c r="AH12" s="76">
        <f>SUM(AH7:AH11)</f>
        <v>1051334024.4327276</v>
      </c>
      <c r="AI12" s="76">
        <f t="shared" ref="AI12" si="12">SUM(AI7:AI11)</f>
        <v>73593381.710290924</v>
      </c>
      <c r="AJ12" s="76">
        <f>SUM(AJ7:AJ11)</f>
        <v>999239194.72243655</v>
      </c>
      <c r="AK12" s="76">
        <f t="shared" ref="AK12" si="13">SUM(AK7:AK11)</f>
        <v>73593381.710290924</v>
      </c>
      <c r="AL12" s="76">
        <f t="shared" ref="AL12" si="14">SUM(AL7:AL11)</f>
        <v>66418344.421718188</v>
      </c>
      <c r="AM12" s="76">
        <f t="shared" ref="AM12" si="15">SUM(AM7:AM11)</f>
        <v>10000000</v>
      </c>
      <c r="AN12" s="76">
        <f t="shared" ref="AN12" si="16">SUM(AN7:AN11)</f>
        <v>5560000</v>
      </c>
      <c r="AO12" s="76">
        <f t="shared" ref="AO12:AP12" si="17">SUM(AO7:AO11)</f>
        <v>210266806</v>
      </c>
      <c r="AP12" s="76">
        <f t="shared" si="17"/>
        <v>31540020</v>
      </c>
      <c r="AQ12" s="76">
        <f>SUM(AQ7:AQ11)</f>
        <v>315400207.71029091</v>
      </c>
      <c r="AR12" s="76">
        <f>SUM(AR7:AR11)</f>
        <v>977985570.30071843</v>
      </c>
    </row>
    <row r="13" spans="1:44" ht="28.5" customHeight="1" x14ac:dyDescent="0.25">
      <c r="D13" s="4"/>
      <c r="AJ13" s="2"/>
      <c r="AO13" s="2"/>
    </row>
    <row r="14" spans="1:44" ht="28.5" hidden="1" customHeight="1" x14ac:dyDescent="0.25">
      <c r="C14" s="86" t="s">
        <v>83</v>
      </c>
      <c r="D14" s="87"/>
      <c r="E14" s="87"/>
      <c r="F14" s="87"/>
      <c r="G14" s="88"/>
      <c r="H14" s="91" t="s">
        <v>84</v>
      </c>
      <c r="I14" s="92"/>
      <c r="J14" s="92"/>
      <c r="K14" s="93"/>
      <c r="L14" s="35">
        <v>1.6347222222222222</v>
      </c>
      <c r="AO14" s="2"/>
    </row>
    <row r="15" spans="1:44" ht="28.5" hidden="1" customHeight="1" x14ac:dyDescent="0.25">
      <c r="C15" s="36" t="s">
        <v>17</v>
      </c>
      <c r="D15" s="36" t="s">
        <v>18</v>
      </c>
      <c r="E15" s="36" t="s">
        <v>19</v>
      </c>
      <c r="F15" s="36" t="s">
        <v>12</v>
      </c>
      <c r="G15" s="36" t="s">
        <v>20</v>
      </c>
      <c r="H15" s="37" t="s">
        <v>17</v>
      </c>
      <c r="I15" s="37" t="s">
        <v>18</v>
      </c>
      <c r="J15" s="37" t="s">
        <v>19</v>
      </c>
      <c r="K15" s="37" t="s">
        <v>12</v>
      </c>
      <c r="L15" s="38" t="s">
        <v>20</v>
      </c>
      <c r="AO15" s="2"/>
    </row>
    <row r="16" spans="1:44" ht="28.5" hidden="1" customHeight="1" x14ac:dyDescent="0.25">
      <c r="C16" s="39">
        <v>120000000</v>
      </c>
      <c r="D16" s="39">
        <v>0</v>
      </c>
      <c r="E16" s="39">
        <v>0</v>
      </c>
      <c r="F16" s="39">
        <f>D16*E16/100</f>
        <v>0</v>
      </c>
      <c r="G16" s="39">
        <f>F16</f>
        <v>0</v>
      </c>
      <c r="H16" s="39">
        <f t="shared" ref="H16:I20" si="18">C16*12</f>
        <v>1440000000</v>
      </c>
      <c r="I16" s="39">
        <f t="shared" si="18"/>
        <v>0</v>
      </c>
      <c r="J16" s="39">
        <f>E16</f>
        <v>0</v>
      </c>
      <c r="K16" s="39">
        <f>I16*J16/100</f>
        <v>0</v>
      </c>
      <c r="L16" s="39">
        <f>K16</f>
        <v>0</v>
      </c>
      <c r="AO16" s="2"/>
    </row>
    <row r="17" spans="3:41" ht="28.5" hidden="1" customHeight="1" x14ac:dyDescent="0.25">
      <c r="C17" s="39">
        <v>165000000</v>
      </c>
      <c r="D17" s="39">
        <f>C16+1</f>
        <v>120000001</v>
      </c>
      <c r="E17" s="39">
        <v>10</v>
      </c>
      <c r="F17" s="39">
        <f>ROUND((C17-D17)*E17/100,0)</f>
        <v>4500000</v>
      </c>
      <c r="G17" s="39">
        <f>G16+F17</f>
        <v>4500000</v>
      </c>
      <c r="H17" s="39">
        <f t="shared" si="18"/>
        <v>1980000000</v>
      </c>
      <c r="I17" s="39">
        <f t="shared" si="18"/>
        <v>1440000012</v>
      </c>
      <c r="J17" s="39">
        <f>E17</f>
        <v>10</v>
      </c>
      <c r="K17" s="39">
        <f>I17*J17/100</f>
        <v>144000001.19999999</v>
      </c>
      <c r="L17" s="39">
        <f>L16+K17</f>
        <v>144000001.19999999</v>
      </c>
      <c r="AO17" s="2"/>
    </row>
    <row r="18" spans="3:41" ht="28.5" hidden="1" customHeight="1" x14ac:dyDescent="0.25">
      <c r="C18" s="39">
        <v>270000000</v>
      </c>
      <c r="D18" s="39">
        <f>C17+1</f>
        <v>165000001</v>
      </c>
      <c r="E18" s="39">
        <v>15</v>
      </c>
      <c r="F18" s="39">
        <f>ROUND((C18-D18)*E18/100,0)</f>
        <v>15750000</v>
      </c>
      <c r="G18" s="39">
        <f>G17+F18</f>
        <v>20250000</v>
      </c>
      <c r="H18" s="39">
        <f t="shared" si="18"/>
        <v>3240000000</v>
      </c>
      <c r="I18" s="39">
        <f t="shared" si="18"/>
        <v>1980000012</v>
      </c>
      <c r="J18" s="39">
        <f>E18</f>
        <v>15</v>
      </c>
      <c r="K18" s="39">
        <f>I18*J18/100</f>
        <v>297000001.80000001</v>
      </c>
      <c r="L18" s="39">
        <f t="shared" ref="L18" si="19">L17+K18</f>
        <v>441000003</v>
      </c>
      <c r="AO18" s="2"/>
    </row>
    <row r="19" spans="3:41" ht="28.5" hidden="1" customHeight="1" x14ac:dyDescent="0.25">
      <c r="C19" s="39">
        <v>400000000</v>
      </c>
      <c r="D19" s="39">
        <f>C18+1</f>
        <v>270000001</v>
      </c>
      <c r="E19" s="39">
        <v>20</v>
      </c>
      <c r="F19" s="39">
        <f>ROUND((C19-D19)*E19/100,0)</f>
        <v>26000000</v>
      </c>
      <c r="G19" s="39">
        <f>G18+F19</f>
        <v>46250000</v>
      </c>
      <c r="H19" s="39">
        <f t="shared" si="18"/>
        <v>4800000000</v>
      </c>
      <c r="I19" s="39">
        <f t="shared" si="18"/>
        <v>3240000012</v>
      </c>
      <c r="J19" s="39">
        <f>E19</f>
        <v>20</v>
      </c>
      <c r="K19" s="39">
        <f>I19*J19/100</f>
        <v>648000002.39999998</v>
      </c>
      <c r="L19" s="39">
        <f>L18+K19</f>
        <v>1089000005.4000001</v>
      </c>
      <c r="AO19" s="2"/>
    </row>
    <row r="20" spans="3:41" ht="28.5" hidden="1" customHeight="1" x14ac:dyDescent="0.25">
      <c r="C20" s="39">
        <v>9999999999</v>
      </c>
      <c r="D20" s="39">
        <f>C19+1</f>
        <v>400000001</v>
      </c>
      <c r="E20" s="39">
        <v>30</v>
      </c>
      <c r="F20" s="39">
        <f>ROUND((C20-D20)*E20/100,0)</f>
        <v>2879999999</v>
      </c>
      <c r="G20" s="39">
        <f>G19+F20</f>
        <v>2926249999</v>
      </c>
      <c r="H20" s="39">
        <f t="shared" si="18"/>
        <v>119999999988</v>
      </c>
      <c r="I20" s="39">
        <f t="shared" si="18"/>
        <v>4800000012</v>
      </c>
      <c r="J20" s="39">
        <f>E20</f>
        <v>30</v>
      </c>
      <c r="K20" s="39">
        <f>I20*J20/100</f>
        <v>1440000003.5999999</v>
      </c>
      <c r="L20" s="39">
        <f>L19+K20</f>
        <v>2529000009</v>
      </c>
      <c r="AO20" s="2"/>
    </row>
    <row r="21" spans="3:41" ht="28.5" hidden="1" customHeight="1" x14ac:dyDescent="0.25">
      <c r="C21" s="2"/>
      <c r="D21" s="2"/>
      <c r="E21" s="2"/>
      <c r="F21" s="2"/>
      <c r="G21" s="2"/>
      <c r="H21" s="56">
        <f>D7+E7</f>
        <v>10980760</v>
      </c>
      <c r="I21" s="2"/>
      <c r="J21" s="2"/>
      <c r="K21" s="2"/>
      <c r="L21" s="2"/>
      <c r="M21" s="2"/>
      <c r="N21" s="2"/>
    </row>
    <row r="22" spans="3:41" ht="14.25" hidden="1" customHeight="1" x14ac:dyDescent="0.25">
      <c r="H22" s="4">
        <f>H21/7.33</f>
        <v>1498057.298772169</v>
      </c>
    </row>
  </sheetData>
  <sheetProtection algorithmName="SHA-512" hashValue="psruCrvZz8FYijOMuINFsNTTlrLYIDvW1AYYj0265/qL8j5a4f2HVun6Ny88EChYzI84ky0P6V19dkveIRpCUg==" saltValue="VIotavBMqZZkyx+obPkMfQ==" spinCount="100000" sheet="1" objects="1" scenarios="1"/>
  <mergeCells count="19">
    <mergeCell ref="O5:O6"/>
    <mergeCell ref="G5:H5"/>
    <mergeCell ref="I5:N5"/>
    <mergeCell ref="B1:AR1"/>
    <mergeCell ref="B2:AR2"/>
    <mergeCell ref="B3:AR3"/>
    <mergeCell ref="B5:B6"/>
    <mergeCell ref="C14:G14"/>
    <mergeCell ref="AR5:AR6"/>
    <mergeCell ref="H14:K14"/>
    <mergeCell ref="P6:R6"/>
    <mergeCell ref="T6:V6"/>
    <mergeCell ref="P5:AF5"/>
    <mergeCell ref="AG5:AG6"/>
    <mergeCell ref="AH5:AJ5"/>
    <mergeCell ref="AO5:AQ5"/>
    <mergeCell ref="AK5:AN5"/>
    <mergeCell ref="C5:E5"/>
    <mergeCell ref="X6:Z6"/>
  </mergeCells>
  <pageMargins left="0.22" right="0.21" top="0.62992125984251968" bottom="0.19685039370078741" header="0.94488188976377963" footer="0.51181102362204722"/>
  <pageSetup paperSize="9" scale="5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'منبع '!$A$2:$A$13</xm:f>
          </x14:formula1>
          <xm:sqref>F6</xm:sqref>
        </x14:dataValidation>
        <x14:dataValidation type="list" allowBlank="1" showInputMessage="1" showErrorMessage="1" xr:uid="{B8605CE4-0DEE-4486-A4B0-CB1DA9C9C6F8}">
          <x14:formula1>
            <xm:f>'منبع '!$D$6:$D$7</xm:f>
          </x14:formula1>
          <xm:sqref>K7:K11</xm:sqref>
        </x14:dataValidation>
        <x14:dataValidation type="list" allowBlank="1" showInputMessage="1" showErrorMessage="1" xr:uid="{41378BF6-C8B5-4359-B74E-52628665B9FF}">
          <x14:formula1>
            <xm:f>'منبع '!$A$17:$A$18</xm:f>
          </x14:formula1>
          <xm:sqref>AI6</xm:sqref>
        </x14:dataValidation>
        <x14:dataValidation type="list" allowBlank="1" showInputMessage="1" showErrorMessage="1" xr:uid="{57D51D2D-9811-4AD1-857D-8DB56D2CC176}">
          <x14:formula1>
            <xm:f>'منبع '!$B$21:$B$23</xm:f>
          </x14:formula1>
          <xm:sqref>S6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راهنمای فایل</vt:lpstr>
      <vt:lpstr>منبع </vt:lpstr>
      <vt:lpstr>افزایش روزانه</vt:lpstr>
      <vt:lpstr>افزایش ماهانه</vt:lpstr>
      <vt:lpstr>مهر ماه 1403 </vt:lpstr>
      <vt:lpstr>'افزایش روزانه'!Print_Area</vt:lpstr>
      <vt:lpstr>'افزایش ماهانه'!Print_Area</vt:lpstr>
      <vt:lpstr>'مهر ماه 1403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2023-03-09T09:45:40Z</cp:lastPrinted>
  <dcterms:created xsi:type="dcterms:W3CDTF">2022-10-16T09:55:15Z</dcterms:created>
  <dcterms:modified xsi:type="dcterms:W3CDTF">2024-07-01T11:20:01Z</dcterms:modified>
</cp:coreProperties>
</file>