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Asus\Desktop\"/>
    </mc:Choice>
  </mc:AlternateContent>
  <xr:revisionPtr revIDLastSave="0" documentId="13_ncr:1_{CC6F3D28-7195-4313-9A92-369B5E9ADA6C}" xr6:coauthVersionLast="47" xr6:coauthVersionMax="47" xr10:uidLastSave="{00000000-0000-0000-0000-000000000000}"/>
  <bookViews>
    <workbookView xWindow="-108" yWindow="-108" windowWidth="23256" windowHeight="12456" tabRatio="558" activeTab="2" xr2:uid="{00000000-000D-0000-FFFF-FFFF00000000}"/>
  </bookViews>
  <sheets>
    <sheet name="راهنما" sheetId="130" r:id="rId1"/>
    <sheet name="محاسبه حقوق و دستمزد" sheetId="126" r:id="rId2"/>
    <sheet name="فیش حقوقی فروردین" sheetId="132" r:id="rId3"/>
  </sheets>
  <definedNames>
    <definedName name="_xlnm._FilterDatabase" localSheetId="1" hidden="1">'محاسبه حقوق و دستمزد'!$I$2:$XDN$5</definedName>
    <definedName name="asli">#REF!</definedName>
    <definedName name="payesanavat">#REF!</definedName>
    <definedName name="_xlnm.Print_Area" localSheetId="1">'محاسبه حقوق و دستمزد'!$A$2:$AM$50</definedName>
    <definedName name="sanad">'محاسبه حقوق و دستمزد'!#REF!</definedName>
    <definedName name="taxsallary">#REF!</definedName>
    <definedName name="ش1">'محاسبه حقوق و دستمزد'!#REF!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 i="126" l="1"/>
  <c r="AD5" i="126"/>
  <c r="AD6" i="126"/>
  <c r="AD7" i="126"/>
  <c r="AD8" i="126"/>
  <c r="AD9" i="126"/>
  <c r="AD10" i="126"/>
  <c r="AD11" i="126"/>
  <c r="AD12" i="126"/>
  <c r="AD13" i="126"/>
  <c r="AD14" i="126"/>
  <c r="AD15" i="126"/>
  <c r="AD16" i="126"/>
  <c r="AD17" i="126"/>
  <c r="AD18" i="126"/>
  <c r="AD19" i="126"/>
  <c r="AD20" i="126"/>
  <c r="AD21" i="126"/>
  <c r="AD22" i="126"/>
  <c r="AD23" i="126"/>
  <c r="AD24" i="126"/>
  <c r="AD25" i="126"/>
  <c r="AD26" i="126"/>
  <c r="AD27" i="126"/>
  <c r="AD28" i="126"/>
  <c r="AD29" i="126"/>
  <c r="AD30" i="126"/>
  <c r="AD31" i="126"/>
  <c r="AD32" i="126"/>
  <c r="AD33" i="126"/>
  <c r="AD34" i="126"/>
  <c r="AD35" i="126"/>
  <c r="AD36" i="126"/>
  <c r="AD37" i="126"/>
  <c r="AD38" i="126"/>
  <c r="AD39" i="126"/>
  <c r="AD40" i="126"/>
  <c r="AD41" i="126"/>
  <c r="AD42" i="126"/>
  <c r="AD43" i="126"/>
  <c r="AD44" i="126"/>
  <c r="AD45" i="126"/>
  <c r="AD46" i="126"/>
  <c r="AD47" i="126"/>
  <c r="AD48" i="126"/>
  <c r="AD49" i="126"/>
  <c r="AD50" i="126"/>
  <c r="AD3" i="126"/>
  <c r="AB6" i="126"/>
  <c r="AA3" i="126"/>
  <c r="AA4" i="126"/>
  <c r="AA5" i="126"/>
  <c r="AA8" i="126"/>
  <c r="AA9" i="126"/>
  <c r="AA10" i="126"/>
  <c r="AA11" i="126"/>
  <c r="AA12" i="126"/>
  <c r="AA13" i="126"/>
  <c r="AA14" i="126"/>
  <c r="AA15" i="126"/>
  <c r="AA16" i="126"/>
  <c r="AA17" i="126"/>
  <c r="AA18" i="126"/>
  <c r="AA19" i="126"/>
  <c r="AA20" i="126"/>
  <c r="AA21" i="126"/>
  <c r="AA22" i="126"/>
  <c r="AA23" i="126"/>
  <c r="AA24" i="126"/>
  <c r="AA25" i="126"/>
  <c r="AA26" i="126"/>
  <c r="AA27" i="126"/>
  <c r="AA28" i="126"/>
  <c r="AA29" i="126"/>
  <c r="AA30" i="126"/>
  <c r="AA31" i="126"/>
  <c r="AA32" i="126"/>
  <c r="AA33" i="126"/>
  <c r="AA34" i="126"/>
  <c r="AA35" i="126"/>
  <c r="AA36" i="126"/>
  <c r="AA37" i="126"/>
  <c r="AA38" i="126"/>
  <c r="AA39" i="126"/>
  <c r="AA40" i="126"/>
  <c r="AA41" i="126"/>
  <c r="AA42" i="126"/>
  <c r="AA43" i="126"/>
  <c r="AA44" i="126"/>
  <c r="AA45" i="126"/>
  <c r="AA46" i="126"/>
  <c r="AA47" i="126"/>
  <c r="AA48" i="126"/>
  <c r="AA49" i="126"/>
  <c r="I4" i="126"/>
  <c r="L4" i="126" s="1"/>
  <c r="G4" i="126"/>
  <c r="M4" i="126" s="1"/>
  <c r="O4" i="126"/>
  <c r="Q4" i="126"/>
  <c r="R4" i="126"/>
  <c r="S4" i="126"/>
  <c r="T4" i="126" s="1"/>
  <c r="G5" i="126"/>
  <c r="M5" i="126" s="1"/>
  <c r="I5" i="126"/>
  <c r="L5" i="126" s="1"/>
  <c r="O5" i="126"/>
  <c r="Q5" i="126"/>
  <c r="R5" i="126"/>
  <c r="S5" i="126"/>
  <c r="G6" i="126"/>
  <c r="M6" i="126" s="1"/>
  <c r="I6" i="126"/>
  <c r="O6" i="126"/>
  <c r="Q6" i="126"/>
  <c r="R6" i="126"/>
  <c r="S6" i="126"/>
  <c r="G7" i="126"/>
  <c r="M7" i="126" s="1"/>
  <c r="I7" i="126"/>
  <c r="L7" i="126" s="1"/>
  <c r="O7" i="126"/>
  <c r="Q7" i="126"/>
  <c r="R7" i="126"/>
  <c r="S7" i="126"/>
  <c r="T7" i="126" s="1"/>
  <c r="G8" i="126"/>
  <c r="M8" i="126" s="1"/>
  <c r="I8" i="126"/>
  <c r="Z8" i="126" s="1"/>
  <c r="O8" i="126"/>
  <c r="Q8" i="126"/>
  <c r="R8" i="126"/>
  <c r="T8" i="126" s="1"/>
  <c r="S8" i="126"/>
  <c r="G9" i="126"/>
  <c r="M9" i="126" s="1"/>
  <c r="I9" i="126"/>
  <c r="Z9" i="126" s="1"/>
  <c r="O9" i="126"/>
  <c r="Q9" i="126"/>
  <c r="R9" i="126"/>
  <c r="S9" i="126"/>
  <c r="G10" i="126"/>
  <c r="M10" i="126" s="1"/>
  <c r="I10" i="126"/>
  <c r="L10" i="126" s="1"/>
  <c r="O10" i="126"/>
  <c r="T10" i="126" s="1"/>
  <c r="Q10" i="126"/>
  <c r="R10" i="126"/>
  <c r="S10" i="126"/>
  <c r="G11" i="126"/>
  <c r="M11" i="126" s="1"/>
  <c r="I11" i="126"/>
  <c r="L11" i="126" s="1"/>
  <c r="O11" i="126"/>
  <c r="Q11" i="126"/>
  <c r="R11" i="126"/>
  <c r="S11" i="126"/>
  <c r="G12" i="126"/>
  <c r="M12" i="126" s="1"/>
  <c r="I12" i="126"/>
  <c r="Z12" i="126" s="1"/>
  <c r="O12" i="126"/>
  <c r="Q12" i="126"/>
  <c r="R12" i="126"/>
  <c r="S12" i="126"/>
  <c r="G13" i="126"/>
  <c r="M13" i="126" s="1"/>
  <c r="I13" i="126"/>
  <c r="V13" i="126" s="1"/>
  <c r="W13" i="126" s="1"/>
  <c r="O13" i="126"/>
  <c r="Q13" i="126"/>
  <c r="R13" i="126"/>
  <c r="T13" i="126" s="1"/>
  <c r="S13" i="126"/>
  <c r="Z13" i="126"/>
  <c r="G14" i="126"/>
  <c r="M14" i="126" s="1"/>
  <c r="I14" i="126"/>
  <c r="V14" i="126" s="1"/>
  <c r="W14" i="126" s="1"/>
  <c r="O14" i="126"/>
  <c r="Q14" i="126"/>
  <c r="R14" i="126"/>
  <c r="S14" i="126"/>
  <c r="G15" i="126"/>
  <c r="M15" i="126" s="1"/>
  <c r="I15" i="126"/>
  <c r="V15" i="126" s="1"/>
  <c r="W15" i="126" s="1"/>
  <c r="L15" i="126"/>
  <c r="O15" i="126"/>
  <c r="Q15" i="126"/>
  <c r="R15" i="126"/>
  <c r="T15" i="126" s="1"/>
  <c r="S15" i="126"/>
  <c r="G16" i="126"/>
  <c r="M16" i="126" s="1"/>
  <c r="I16" i="126"/>
  <c r="Z16" i="126" s="1"/>
  <c r="O16" i="126"/>
  <c r="Q16" i="126"/>
  <c r="R16" i="126"/>
  <c r="S16" i="126"/>
  <c r="G17" i="126"/>
  <c r="M17" i="126" s="1"/>
  <c r="I17" i="126"/>
  <c r="V17" i="126" s="1"/>
  <c r="W17" i="126" s="1"/>
  <c r="O17" i="126"/>
  <c r="Q17" i="126"/>
  <c r="R17" i="126"/>
  <c r="S17" i="126"/>
  <c r="Z17" i="126"/>
  <c r="G18" i="126"/>
  <c r="M18" i="126" s="1"/>
  <c r="I18" i="126"/>
  <c r="L18" i="126" s="1"/>
  <c r="O18" i="126"/>
  <c r="Q18" i="126"/>
  <c r="R18" i="126"/>
  <c r="S18" i="126"/>
  <c r="G19" i="126"/>
  <c r="M19" i="126" s="1"/>
  <c r="I19" i="126"/>
  <c r="L19" i="126" s="1"/>
  <c r="O19" i="126"/>
  <c r="Q19" i="126"/>
  <c r="R19" i="126"/>
  <c r="S19" i="126"/>
  <c r="G20" i="126"/>
  <c r="M20" i="126" s="1"/>
  <c r="I20" i="126"/>
  <c r="Z20" i="126" s="1"/>
  <c r="O20" i="126"/>
  <c r="Q20" i="126"/>
  <c r="R20" i="126"/>
  <c r="S20" i="126"/>
  <c r="G21" i="126"/>
  <c r="M21" i="126" s="1"/>
  <c r="I21" i="126"/>
  <c r="L21" i="126" s="1"/>
  <c r="O21" i="126"/>
  <c r="Q21" i="126"/>
  <c r="R21" i="126"/>
  <c r="S21" i="126"/>
  <c r="G22" i="126"/>
  <c r="M22" i="126" s="1"/>
  <c r="I22" i="126"/>
  <c r="O22" i="126"/>
  <c r="Q22" i="126"/>
  <c r="R22" i="126"/>
  <c r="S22" i="126"/>
  <c r="G23" i="126"/>
  <c r="M23" i="126" s="1"/>
  <c r="I23" i="126"/>
  <c r="L23" i="126" s="1"/>
  <c r="O23" i="126"/>
  <c r="Q23" i="126"/>
  <c r="R23" i="126"/>
  <c r="S23" i="126"/>
  <c r="T23" i="126" s="1"/>
  <c r="G24" i="126"/>
  <c r="M24" i="126" s="1"/>
  <c r="I24" i="126"/>
  <c r="Z24" i="126" s="1"/>
  <c r="O24" i="126"/>
  <c r="Q24" i="126"/>
  <c r="R24" i="126"/>
  <c r="S24" i="126"/>
  <c r="G25" i="126"/>
  <c r="M25" i="126" s="1"/>
  <c r="I25" i="126"/>
  <c r="L25" i="126" s="1"/>
  <c r="O25" i="126"/>
  <c r="Q25" i="126"/>
  <c r="R25" i="126"/>
  <c r="S25" i="126"/>
  <c r="T25" i="126" s="1"/>
  <c r="G26" i="126"/>
  <c r="M26" i="126" s="1"/>
  <c r="I26" i="126"/>
  <c r="L26" i="126" s="1"/>
  <c r="O26" i="126"/>
  <c r="Q26" i="126"/>
  <c r="R26" i="126"/>
  <c r="S26" i="126"/>
  <c r="X26" i="126"/>
  <c r="G27" i="126"/>
  <c r="M27" i="126" s="1"/>
  <c r="I27" i="126"/>
  <c r="L27" i="126" s="1"/>
  <c r="O27" i="126"/>
  <c r="Q27" i="126"/>
  <c r="R27" i="126"/>
  <c r="S27" i="126"/>
  <c r="G28" i="126"/>
  <c r="I28" i="126"/>
  <c r="Z28" i="126" s="1"/>
  <c r="M28" i="126"/>
  <c r="O28" i="126"/>
  <c r="Q28" i="126"/>
  <c r="R28" i="126"/>
  <c r="S28" i="126"/>
  <c r="G29" i="126"/>
  <c r="M29" i="126" s="1"/>
  <c r="I29" i="126"/>
  <c r="L29" i="126" s="1"/>
  <c r="O29" i="126"/>
  <c r="Q29" i="126"/>
  <c r="R29" i="126"/>
  <c r="S29" i="126"/>
  <c r="G30" i="126"/>
  <c r="M30" i="126" s="1"/>
  <c r="I30" i="126"/>
  <c r="O30" i="126"/>
  <c r="Q30" i="126"/>
  <c r="R30" i="126"/>
  <c r="S30" i="126"/>
  <c r="G31" i="126"/>
  <c r="M31" i="126" s="1"/>
  <c r="I31" i="126"/>
  <c r="L31" i="126" s="1"/>
  <c r="O31" i="126"/>
  <c r="Q31" i="126"/>
  <c r="R31" i="126"/>
  <c r="S31" i="126"/>
  <c r="T31" i="126" s="1"/>
  <c r="G32" i="126"/>
  <c r="M32" i="126" s="1"/>
  <c r="I32" i="126"/>
  <c r="Z32" i="126" s="1"/>
  <c r="O32" i="126"/>
  <c r="Q32" i="126"/>
  <c r="R32" i="126"/>
  <c r="S32" i="126"/>
  <c r="G33" i="126"/>
  <c r="M33" i="126" s="1"/>
  <c r="I33" i="126"/>
  <c r="V33" i="126" s="1"/>
  <c r="W33" i="126" s="1"/>
  <c r="O33" i="126"/>
  <c r="Q33" i="126"/>
  <c r="R33" i="126"/>
  <c r="S33" i="126"/>
  <c r="T33" i="126" s="1"/>
  <c r="G34" i="126"/>
  <c r="M34" i="126" s="1"/>
  <c r="I34" i="126"/>
  <c r="L34" i="126" s="1"/>
  <c r="O34" i="126"/>
  <c r="Q34" i="126"/>
  <c r="R34" i="126"/>
  <c r="S34" i="126"/>
  <c r="T34" i="126" s="1"/>
  <c r="G35" i="126"/>
  <c r="M35" i="126" s="1"/>
  <c r="I35" i="126"/>
  <c r="Z35" i="126" s="1"/>
  <c r="O35" i="126"/>
  <c r="Q35" i="126"/>
  <c r="R35" i="126"/>
  <c r="S35" i="126"/>
  <c r="G36" i="126"/>
  <c r="M36" i="126" s="1"/>
  <c r="I36" i="126"/>
  <c r="Z36" i="126" s="1"/>
  <c r="O36" i="126"/>
  <c r="Q36" i="126"/>
  <c r="R36" i="126"/>
  <c r="S36" i="126"/>
  <c r="G37" i="126"/>
  <c r="M37" i="126" s="1"/>
  <c r="I37" i="126"/>
  <c r="V37" i="126" s="1"/>
  <c r="W37" i="126" s="1"/>
  <c r="O37" i="126"/>
  <c r="Q37" i="126"/>
  <c r="R37" i="126"/>
  <c r="S37" i="126"/>
  <c r="T37" i="126" s="1"/>
  <c r="Z37" i="126"/>
  <c r="G38" i="126"/>
  <c r="M38" i="126" s="1"/>
  <c r="I38" i="126"/>
  <c r="O38" i="126"/>
  <c r="Q38" i="126"/>
  <c r="R38" i="126"/>
  <c r="S38" i="126"/>
  <c r="T38" i="126" s="1"/>
  <c r="G39" i="126"/>
  <c r="M39" i="126" s="1"/>
  <c r="I39" i="126"/>
  <c r="L39" i="126" s="1"/>
  <c r="O39" i="126"/>
  <c r="Q39" i="126"/>
  <c r="R39" i="126"/>
  <c r="S39" i="126"/>
  <c r="G40" i="126"/>
  <c r="M40" i="126" s="1"/>
  <c r="I40" i="126"/>
  <c r="Z40" i="126" s="1"/>
  <c r="O40" i="126"/>
  <c r="Q40" i="126"/>
  <c r="R40" i="126"/>
  <c r="S40" i="126"/>
  <c r="G41" i="126"/>
  <c r="M41" i="126" s="1"/>
  <c r="I41" i="126"/>
  <c r="Z41" i="126" s="1"/>
  <c r="O41" i="126"/>
  <c r="Q41" i="126"/>
  <c r="R41" i="126"/>
  <c r="S41" i="126"/>
  <c r="G42" i="126"/>
  <c r="M42" i="126" s="1"/>
  <c r="I42" i="126"/>
  <c r="L42" i="126" s="1"/>
  <c r="O42" i="126"/>
  <c r="Q42" i="126"/>
  <c r="R42" i="126"/>
  <c r="S42" i="126"/>
  <c r="G43" i="126"/>
  <c r="M43" i="126" s="1"/>
  <c r="I43" i="126"/>
  <c r="X43" i="126" s="1"/>
  <c r="O43" i="126"/>
  <c r="Q43" i="126"/>
  <c r="R43" i="126"/>
  <c r="S43" i="126"/>
  <c r="G44" i="126"/>
  <c r="M44" i="126" s="1"/>
  <c r="I44" i="126"/>
  <c r="Z44" i="126" s="1"/>
  <c r="O44" i="126"/>
  <c r="Q44" i="126"/>
  <c r="R44" i="126"/>
  <c r="S44" i="126"/>
  <c r="G45" i="126"/>
  <c r="M45" i="126" s="1"/>
  <c r="I45" i="126"/>
  <c r="L45" i="126" s="1"/>
  <c r="O45" i="126"/>
  <c r="Q45" i="126"/>
  <c r="R45" i="126"/>
  <c r="S45" i="126"/>
  <c r="G46" i="126"/>
  <c r="M46" i="126" s="1"/>
  <c r="I46" i="126"/>
  <c r="L46" i="126" s="1"/>
  <c r="O46" i="126"/>
  <c r="Q46" i="126"/>
  <c r="R46" i="126"/>
  <c r="S46" i="126"/>
  <c r="Z46" i="126"/>
  <c r="G47" i="126"/>
  <c r="M47" i="126" s="1"/>
  <c r="I47" i="126"/>
  <c r="L47" i="126" s="1"/>
  <c r="O47" i="126"/>
  <c r="Q47" i="126"/>
  <c r="R47" i="126"/>
  <c r="S47" i="126"/>
  <c r="V47" i="126"/>
  <c r="W47" i="126" s="1"/>
  <c r="Z47" i="126"/>
  <c r="G48" i="126"/>
  <c r="M48" i="126" s="1"/>
  <c r="I48" i="126"/>
  <c r="X48" i="126" s="1"/>
  <c r="O48" i="126"/>
  <c r="Q48" i="126"/>
  <c r="R48" i="126"/>
  <c r="S48" i="126"/>
  <c r="T48" i="126" s="1"/>
  <c r="G49" i="126"/>
  <c r="M49" i="126" s="1"/>
  <c r="I49" i="126"/>
  <c r="Z49" i="126" s="1"/>
  <c r="O49" i="126"/>
  <c r="Q49" i="126"/>
  <c r="R49" i="126"/>
  <c r="S49" i="126"/>
  <c r="T49" i="126" s="1"/>
  <c r="S3" i="126"/>
  <c r="Q3" i="126"/>
  <c r="I3" i="126"/>
  <c r="I50" i="126"/>
  <c r="V50" i="126" s="1"/>
  <c r="G3" i="126"/>
  <c r="G50" i="126"/>
  <c r="Z29" i="126" l="1"/>
  <c r="X29" i="126"/>
  <c r="V19" i="126"/>
  <c r="W19" i="126" s="1"/>
  <c r="X13" i="126"/>
  <c r="X4" i="126"/>
  <c r="V5" i="126"/>
  <c r="W5" i="126" s="1"/>
  <c r="Z26" i="126"/>
  <c r="X47" i="126"/>
  <c r="AE47" i="126" s="1"/>
  <c r="T45" i="126"/>
  <c r="L41" i="126"/>
  <c r="L40" i="126"/>
  <c r="L33" i="126"/>
  <c r="V29" i="126"/>
  <c r="W29" i="126" s="1"/>
  <c r="L9" i="126"/>
  <c r="Z4" i="126"/>
  <c r="AG4" i="126" s="1"/>
  <c r="X41" i="126"/>
  <c r="Z33" i="126"/>
  <c r="T29" i="126"/>
  <c r="Z18" i="126"/>
  <c r="AE18" i="126" s="1"/>
  <c r="X9" i="126"/>
  <c r="L44" i="126"/>
  <c r="AG44" i="126" s="1"/>
  <c r="V41" i="126"/>
  <c r="W41" i="126" s="1"/>
  <c r="X40" i="126"/>
  <c r="T39" i="126"/>
  <c r="X33" i="126"/>
  <c r="T32" i="126"/>
  <c r="T24" i="126"/>
  <c r="X18" i="126"/>
  <c r="V9" i="126"/>
  <c r="W9" i="126" s="1"/>
  <c r="X8" i="126"/>
  <c r="T6" i="126"/>
  <c r="V20" i="126"/>
  <c r="W20" i="126" s="1"/>
  <c r="V18" i="126"/>
  <c r="W18" i="126" s="1"/>
  <c r="L13" i="126"/>
  <c r="AE13" i="126" s="1"/>
  <c r="V35" i="126"/>
  <c r="W35" i="126" s="1"/>
  <c r="X21" i="126"/>
  <c r="X44" i="126"/>
  <c r="T42" i="126"/>
  <c r="T35" i="126"/>
  <c r="T21" i="126"/>
  <c r="T14" i="126"/>
  <c r="T12" i="126"/>
  <c r="T11" i="126"/>
  <c r="X49" i="126"/>
  <c r="V45" i="126"/>
  <c r="W45" i="126" s="1"/>
  <c r="L43" i="126"/>
  <c r="X37" i="126"/>
  <c r="L37" i="126"/>
  <c r="Z34" i="126"/>
  <c r="X28" i="126"/>
  <c r="L28" i="126"/>
  <c r="AG28" i="126" s="1"/>
  <c r="V25" i="126"/>
  <c r="W25" i="126" s="1"/>
  <c r="T22" i="126"/>
  <c r="X17" i="126"/>
  <c r="L17" i="126"/>
  <c r="V12" i="126"/>
  <c r="W12" i="126" s="1"/>
  <c r="V8" i="126"/>
  <c r="W8" i="126" s="1"/>
  <c r="T5" i="126"/>
  <c r="V4" i="126"/>
  <c r="W4" i="126" s="1"/>
  <c r="T26" i="126"/>
  <c r="T41" i="126"/>
  <c r="V34" i="126"/>
  <c r="W34" i="126" s="1"/>
  <c r="V28" i="126"/>
  <c r="W28" i="126" s="1"/>
  <c r="X20" i="126"/>
  <c r="L20" i="126"/>
  <c r="AG20" i="126" s="1"/>
  <c r="V11" i="126"/>
  <c r="W11" i="126" s="1"/>
  <c r="X10" i="126"/>
  <c r="T9" i="126"/>
  <c r="V21" i="126"/>
  <c r="W21" i="126" s="1"/>
  <c r="Z11" i="126"/>
  <c r="Z10" i="126"/>
  <c r="V44" i="126"/>
  <c r="W44" i="126" s="1"/>
  <c r="Z42" i="126"/>
  <c r="X36" i="126"/>
  <c r="L36" i="126"/>
  <c r="AH36" i="126" s="1"/>
  <c r="T28" i="126"/>
  <c r="Z27" i="126"/>
  <c r="T18" i="126"/>
  <c r="T17" i="126"/>
  <c r="T16" i="126"/>
  <c r="V10" i="126"/>
  <c r="W10" i="126" s="1"/>
  <c r="T46" i="126"/>
  <c r="V27" i="126"/>
  <c r="W27" i="126" s="1"/>
  <c r="T47" i="126"/>
  <c r="Z45" i="126"/>
  <c r="T43" i="126"/>
  <c r="V36" i="126"/>
  <c r="W36" i="126" s="1"/>
  <c r="AE28" i="126"/>
  <c r="V26" i="126"/>
  <c r="W26" i="126" s="1"/>
  <c r="Z25" i="126"/>
  <c r="T20" i="126"/>
  <c r="Z19" i="126"/>
  <c r="AH47" i="126"/>
  <c r="X34" i="126"/>
  <c r="T44" i="126"/>
  <c r="L49" i="126"/>
  <c r="L48" i="126"/>
  <c r="X45" i="126"/>
  <c r="T30" i="126"/>
  <c r="X25" i="126"/>
  <c r="Z21" i="126"/>
  <c r="X12" i="126"/>
  <c r="L12" i="126"/>
  <c r="Z43" i="126"/>
  <c r="AE43" i="126" s="1"/>
  <c r="X23" i="126"/>
  <c r="Z23" i="126"/>
  <c r="X7" i="126"/>
  <c r="V7" i="126"/>
  <c r="W7" i="126" s="1"/>
  <c r="V46" i="126"/>
  <c r="W46" i="126" s="1"/>
  <c r="V43" i="126"/>
  <c r="W43" i="126" s="1"/>
  <c r="V42" i="126"/>
  <c r="W42" i="126" s="1"/>
  <c r="T36" i="126"/>
  <c r="X32" i="126"/>
  <c r="L32" i="126"/>
  <c r="X24" i="126"/>
  <c r="L24" i="126"/>
  <c r="X16" i="126"/>
  <c r="L16" i="126"/>
  <c r="L8" i="126"/>
  <c r="V48" i="126"/>
  <c r="W48" i="126" s="1"/>
  <c r="X31" i="126"/>
  <c r="Z31" i="126"/>
  <c r="X15" i="126"/>
  <c r="Z15" i="126"/>
  <c r="V49" i="126"/>
  <c r="W49" i="126" s="1"/>
  <c r="X42" i="126"/>
  <c r="V23" i="126"/>
  <c r="W23" i="126" s="1"/>
  <c r="L22" i="126"/>
  <c r="X22" i="126"/>
  <c r="Z22" i="126"/>
  <c r="L6" i="126"/>
  <c r="X6" i="126"/>
  <c r="Z6" i="126"/>
  <c r="L38" i="126"/>
  <c r="X38" i="126"/>
  <c r="AE33" i="126"/>
  <c r="V32" i="126"/>
  <c r="W32" i="126" s="1"/>
  <c r="V24" i="126"/>
  <c r="W24" i="126" s="1"/>
  <c r="V16" i="126"/>
  <c r="W16" i="126" s="1"/>
  <c r="X46" i="126"/>
  <c r="V31" i="126"/>
  <c r="W31" i="126" s="1"/>
  <c r="L30" i="126"/>
  <c r="X30" i="126"/>
  <c r="Z30" i="126"/>
  <c r="Z48" i="126"/>
  <c r="V40" i="126"/>
  <c r="W40" i="126" s="1"/>
  <c r="X39" i="126"/>
  <c r="Z39" i="126"/>
  <c r="Z38" i="126"/>
  <c r="V30" i="126"/>
  <c r="W30" i="126" s="1"/>
  <c r="T27" i="126"/>
  <c r="V22" i="126"/>
  <c r="W22" i="126" s="1"/>
  <c r="T19" i="126"/>
  <c r="V6" i="126"/>
  <c r="W6" i="126" s="1"/>
  <c r="AI20" i="126"/>
  <c r="L14" i="126"/>
  <c r="X14" i="126"/>
  <c r="Z14" i="126"/>
  <c r="T40" i="126"/>
  <c r="V39" i="126"/>
  <c r="W39" i="126" s="1"/>
  <c r="V38" i="126"/>
  <c r="W38" i="126" s="1"/>
  <c r="L35" i="126"/>
  <c r="X35" i="126"/>
  <c r="X27" i="126"/>
  <c r="AE27" i="126" s="1"/>
  <c r="X19" i="126"/>
  <c r="AE19" i="126" s="1"/>
  <c r="X11" i="126"/>
  <c r="AE11" i="126" s="1"/>
  <c r="Z5" i="126"/>
  <c r="X5" i="126"/>
  <c r="M54" i="126"/>
  <c r="M55" i="126" s="1"/>
  <c r="AH20" i="126" l="1"/>
  <c r="AJ20" i="126" s="1"/>
  <c r="AE21" i="126"/>
  <c r="AE5" i="126"/>
  <c r="AE17" i="126"/>
  <c r="AG13" i="126"/>
  <c r="AE34" i="126"/>
  <c r="AE41" i="126"/>
  <c r="AG36" i="126"/>
  <c r="AJ36" i="126" s="1"/>
  <c r="AE4" i="126"/>
  <c r="AE9" i="126"/>
  <c r="AE7" i="126"/>
  <c r="AE25" i="126"/>
  <c r="AE10" i="126"/>
  <c r="AI28" i="126"/>
  <c r="AE45" i="126"/>
  <c r="AE26" i="126"/>
  <c r="AH28" i="126"/>
  <c r="AI43" i="126"/>
  <c r="AE29" i="126"/>
  <c r="AI44" i="126"/>
  <c r="AH44" i="126"/>
  <c r="AG47" i="126"/>
  <c r="AF47" i="126" s="1"/>
  <c r="AI47" i="126"/>
  <c r="AG34" i="126"/>
  <c r="AF34" i="126" s="1"/>
  <c r="AI34" i="126"/>
  <c r="AH34" i="126"/>
  <c r="AG27" i="126"/>
  <c r="AF27" i="126" s="1"/>
  <c r="AH27" i="126"/>
  <c r="AI27" i="126"/>
  <c r="AG19" i="126"/>
  <c r="AF19" i="126" s="1"/>
  <c r="AH19" i="126"/>
  <c r="AI19" i="126"/>
  <c r="AG11" i="126"/>
  <c r="AF11" i="126" s="1"/>
  <c r="AH11" i="126"/>
  <c r="AI11" i="126"/>
  <c r="AI4" i="126"/>
  <c r="AE37" i="126"/>
  <c r="AH4" i="126"/>
  <c r="AE40" i="126"/>
  <c r="AE12" i="126"/>
  <c r="AE36" i="126"/>
  <c r="AE20" i="126"/>
  <c r="AE44" i="126"/>
  <c r="AI36" i="126"/>
  <c r="AH23" i="126"/>
  <c r="AI23" i="126"/>
  <c r="AG23" i="126"/>
  <c r="AF23" i="126" s="1"/>
  <c r="AG18" i="126"/>
  <c r="AH18" i="126"/>
  <c r="AI18" i="126"/>
  <c r="AE30" i="126"/>
  <c r="AE6" i="126"/>
  <c r="AG40" i="126"/>
  <c r="AI40" i="126"/>
  <c r="AH40" i="126"/>
  <c r="AE8" i="126"/>
  <c r="AH15" i="126"/>
  <c r="AI15" i="126"/>
  <c r="AG15" i="126"/>
  <c r="AG17" i="126"/>
  <c r="AH17" i="126"/>
  <c r="AI17" i="126"/>
  <c r="AH29" i="126"/>
  <c r="AI29" i="126"/>
  <c r="AG29" i="126"/>
  <c r="AE31" i="126"/>
  <c r="AE38" i="126"/>
  <c r="AE23" i="126"/>
  <c r="AF20" i="126"/>
  <c r="AE46" i="126"/>
  <c r="AG25" i="126"/>
  <c r="AH25" i="126"/>
  <c r="AI25" i="126"/>
  <c r="AH39" i="126"/>
  <c r="AI39" i="126"/>
  <c r="AG39" i="126"/>
  <c r="AF28" i="126"/>
  <c r="AE49" i="126"/>
  <c r="AF4" i="126"/>
  <c r="AI42" i="126"/>
  <c r="AG42" i="126"/>
  <c r="AH42" i="126"/>
  <c r="AH21" i="126"/>
  <c r="AI21" i="126"/>
  <c r="AG21" i="126"/>
  <c r="AE48" i="126"/>
  <c r="AF44" i="126"/>
  <c r="AG9" i="126"/>
  <c r="AH9" i="126"/>
  <c r="AI9" i="126"/>
  <c r="AE32" i="126"/>
  <c r="AH31" i="126"/>
  <c r="AG31" i="126"/>
  <c r="AI31" i="126"/>
  <c r="AG26" i="126"/>
  <c r="AH26" i="126"/>
  <c r="AI26" i="126"/>
  <c r="AG10" i="126"/>
  <c r="AH10" i="126"/>
  <c r="AI10" i="126"/>
  <c r="AE22" i="126"/>
  <c r="AE24" i="126"/>
  <c r="AH49" i="126"/>
  <c r="AI49" i="126"/>
  <c r="AG49" i="126"/>
  <c r="AE39" i="126"/>
  <c r="AE16" i="126"/>
  <c r="AH45" i="126"/>
  <c r="AI45" i="126"/>
  <c r="AG45" i="126"/>
  <c r="AE35" i="126"/>
  <c r="AE14" i="126"/>
  <c r="AH37" i="126"/>
  <c r="AI37" i="126"/>
  <c r="AG37" i="126"/>
  <c r="AG33" i="126"/>
  <c r="AH33" i="126"/>
  <c r="AI33" i="126"/>
  <c r="AG46" i="126"/>
  <c r="AH46" i="126"/>
  <c r="AI46" i="126"/>
  <c r="AH41" i="126"/>
  <c r="AG41" i="126"/>
  <c r="AI41" i="126"/>
  <c r="AE42" i="126"/>
  <c r="AE15" i="126"/>
  <c r="V3" i="126"/>
  <c r="K50" i="126"/>
  <c r="AJ47" i="126" l="1"/>
  <c r="AF36" i="126"/>
  <c r="AK36" i="126" s="1"/>
  <c r="AL36" i="126" s="1"/>
  <c r="AM36" i="126" s="1"/>
  <c r="AJ28" i="126"/>
  <c r="AJ44" i="126"/>
  <c r="AK23" i="126"/>
  <c r="AL23" i="126" s="1"/>
  <c r="AM23" i="126" s="1"/>
  <c r="AH13" i="126"/>
  <c r="AK28" i="126"/>
  <c r="AL28" i="126" s="1"/>
  <c r="AM28" i="126" s="1"/>
  <c r="AK34" i="126"/>
  <c r="AL34" i="126" s="1"/>
  <c r="AM34" i="126" s="1"/>
  <c r="AK27" i="126"/>
  <c r="AL27" i="126" s="1"/>
  <c r="AM27" i="126" s="1"/>
  <c r="AK11" i="126"/>
  <c r="AL11" i="126" s="1"/>
  <c r="AM11" i="126" s="1"/>
  <c r="AK20" i="126"/>
  <c r="AL20" i="126" s="1"/>
  <c r="AM20" i="126" s="1"/>
  <c r="AK19" i="126"/>
  <c r="AL19" i="126" s="1"/>
  <c r="AM19" i="126" s="1"/>
  <c r="AK47" i="126"/>
  <c r="AL47" i="126" s="1"/>
  <c r="AM47" i="126" s="1"/>
  <c r="AI13" i="126"/>
  <c r="AF13" i="126"/>
  <c r="AK44" i="126"/>
  <c r="AL44" i="126" s="1"/>
  <c r="AM44" i="126" s="1"/>
  <c r="AK4" i="126"/>
  <c r="AL4" i="126" s="1"/>
  <c r="AM4" i="126" s="1"/>
  <c r="AH43" i="126"/>
  <c r="AG43" i="126"/>
  <c r="AF43" i="126" s="1"/>
  <c r="AJ27" i="126"/>
  <c r="AJ34" i="126"/>
  <c r="AJ11" i="126"/>
  <c r="AJ19" i="126"/>
  <c r="AJ4" i="126"/>
  <c r="AJ15" i="126"/>
  <c r="AG12" i="126"/>
  <c r="AI12" i="126"/>
  <c r="AH12" i="126"/>
  <c r="AG35" i="126"/>
  <c r="AI35" i="126"/>
  <c r="AH35" i="126"/>
  <c r="AF15" i="126"/>
  <c r="AH5" i="126"/>
  <c r="AI5" i="126"/>
  <c r="AG5" i="126"/>
  <c r="AJ40" i="126"/>
  <c r="AF40" i="126"/>
  <c r="AG24" i="126"/>
  <c r="AI24" i="126"/>
  <c r="AH24" i="126"/>
  <c r="AJ18" i="126"/>
  <c r="AF18" i="126"/>
  <c r="AJ45" i="126"/>
  <c r="AF45" i="126"/>
  <c r="AJ26" i="126"/>
  <c r="AF26" i="126"/>
  <c r="AJ21" i="126"/>
  <c r="AF21" i="126"/>
  <c r="AJ39" i="126"/>
  <c r="AI6" i="126"/>
  <c r="AG6" i="126"/>
  <c r="AH6" i="126"/>
  <c r="AJ25" i="126"/>
  <c r="AF25" i="126"/>
  <c r="AJ37" i="126"/>
  <c r="AF37" i="126"/>
  <c r="AI22" i="126"/>
  <c r="AG22" i="126"/>
  <c r="AH22" i="126"/>
  <c r="AH7" i="126"/>
  <c r="AI7" i="126"/>
  <c r="AG7" i="126"/>
  <c r="AJ49" i="126"/>
  <c r="AF49" i="126"/>
  <c r="AJ33" i="126"/>
  <c r="AF33" i="126"/>
  <c r="AJ17" i="126"/>
  <c r="AF17" i="126"/>
  <c r="AG8" i="126"/>
  <c r="AH8" i="126"/>
  <c r="AI8" i="126"/>
  <c r="AJ23" i="126"/>
  <c r="AJ46" i="126"/>
  <c r="AF46" i="126"/>
  <c r="AG16" i="126"/>
  <c r="AI16" i="126"/>
  <c r="AH16" i="126"/>
  <c r="AG32" i="126"/>
  <c r="AH32" i="126"/>
  <c r="AI32" i="126"/>
  <c r="AJ41" i="126"/>
  <c r="AF41" i="126"/>
  <c r="AJ9" i="126"/>
  <c r="AF9" i="126"/>
  <c r="AH48" i="126"/>
  <c r="AI48" i="126"/>
  <c r="AG48" i="126"/>
  <c r="AI14" i="126"/>
  <c r="AG14" i="126"/>
  <c r="AH14" i="126"/>
  <c r="AJ10" i="126"/>
  <c r="AF10" i="126"/>
  <c r="AJ31" i="126"/>
  <c r="AJ29" i="126"/>
  <c r="AF29" i="126"/>
  <c r="AF39" i="126"/>
  <c r="AF31" i="126"/>
  <c r="AI30" i="126"/>
  <c r="AG30" i="126"/>
  <c r="AH30" i="126"/>
  <c r="AJ42" i="126"/>
  <c r="AF42" i="126"/>
  <c r="AI38" i="126"/>
  <c r="AH38" i="126"/>
  <c r="AG38" i="126"/>
  <c r="D35" i="132"/>
  <c r="B42" i="132"/>
  <c r="B37" i="132"/>
  <c r="E32" i="132"/>
  <c r="E30" i="132"/>
  <c r="B27" i="132"/>
  <c r="D12" i="132"/>
  <c r="B14" i="132"/>
  <c r="B19" i="132"/>
  <c r="E9" i="132"/>
  <c r="E7" i="132"/>
  <c r="B4" i="132"/>
  <c r="M3" i="126"/>
  <c r="B13" i="132" s="1"/>
  <c r="B40" i="132"/>
  <c r="O3" i="126"/>
  <c r="B41" i="132"/>
  <c r="B18" i="132"/>
  <c r="B39" i="132"/>
  <c r="B38" i="132"/>
  <c r="B15" i="132"/>
  <c r="R3" i="126"/>
  <c r="B16" i="132" s="1"/>
  <c r="AJ43" i="126" l="1"/>
  <c r="AJ13" i="126"/>
  <c r="AK45" i="126"/>
  <c r="AL45" i="126" s="1"/>
  <c r="AM45" i="126" s="1"/>
  <c r="AK39" i="126"/>
  <c r="AL39" i="126" s="1"/>
  <c r="AM39" i="126" s="1"/>
  <c r="AK33" i="126"/>
  <c r="AL33" i="126" s="1"/>
  <c r="AM33" i="126" s="1"/>
  <c r="AK18" i="126"/>
  <c r="AL18" i="126" s="1"/>
  <c r="AM18" i="126" s="1"/>
  <c r="AK31" i="126"/>
  <c r="AL31" i="126" s="1"/>
  <c r="AM31" i="126" s="1"/>
  <c r="AK29" i="126"/>
  <c r="AL29" i="126" s="1"/>
  <c r="AM29" i="126" s="1"/>
  <c r="AK46" i="126"/>
  <c r="AL46" i="126" s="1"/>
  <c r="AM46" i="126" s="1"/>
  <c r="AK37" i="126"/>
  <c r="AL37" i="126" s="1"/>
  <c r="AM37" i="126" s="1"/>
  <c r="AK13" i="126"/>
  <c r="AL13" i="126" s="1"/>
  <c r="AM13" i="126" s="1"/>
  <c r="AK41" i="126"/>
  <c r="AL41" i="126" s="1"/>
  <c r="AM41" i="126" s="1"/>
  <c r="AK21" i="126"/>
  <c r="AL21" i="126" s="1"/>
  <c r="AM21" i="126" s="1"/>
  <c r="AK43" i="126"/>
  <c r="AL43" i="126" s="1"/>
  <c r="AM43" i="126" s="1"/>
  <c r="AK42" i="126"/>
  <c r="AL42" i="126" s="1"/>
  <c r="AM42" i="126" s="1"/>
  <c r="AK49" i="126"/>
  <c r="AL49" i="126" s="1"/>
  <c r="AM49" i="126" s="1"/>
  <c r="AK15" i="126"/>
  <c r="AL15" i="126" s="1"/>
  <c r="AM15" i="126" s="1"/>
  <c r="AK25" i="126"/>
  <c r="AL25" i="126" s="1"/>
  <c r="AM25" i="126" s="1"/>
  <c r="AK26" i="126"/>
  <c r="AL26" i="126" s="1"/>
  <c r="AM26" i="126" s="1"/>
  <c r="AK10" i="126"/>
  <c r="AL10" i="126" s="1"/>
  <c r="AM10" i="126" s="1"/>
  <c r="AK9" i="126"/>
  <c r="AL9" i="126" s="1"/>
  <c r="AM9" i="126" s="1"/>
  <c r="AK17" i="126"/>
  <c r="AL17" i="126" s="1"/>
  <c r="AM17" i="126" s="1"/>
  <c r="AK40" i="126"/>
  <c r="AL40" i="126" s="1"/>
  <c r="AM40" i="126" s="1"/>
  <c r="AF12" i="126"/>
  <c r="AJ12" i="126"/>
  <c r="AJ38" i="126"/>
  <c r="AF38" i="126"/>
  <c r="AJ22" i="126"/>
  <c r="AF22" i="126"/>
  <c r="AJ6" i="126"/>
  <c r="AF6" i="126"/>
  <c r="AJ14" i="126"/>
  <c r="AF14" i="126"/>
  <c r="AJ8" i="126"/>
  <c r="AF8" i="126"/>
  <c r="AJ7" i="126"/>
  <c r="AF7" i="126"/>
  <c r="AJ48" i="126"/>
  <c r="AF48" i="126"/>
  <c r="AJ5" i="126"/>
  <c r="AF5" i="126"/>
  <c r="AJ30" i="126"/>
  <c r="AF30" i="126"/>
  <c r="AJ32" i="126"/>
  <c r="AF32" i="126"/>
  <c r="AJ16" i="126"/>
  <c r="AF16" i="126"/>
  <c r="AJ24" i="126"/>
  <c r="AF24" i="126"/>
  <c r="AJ35" i="126"/>
  <c r="AF35" i="126"/>
  <c r="B17" i="132"/>
  <c r="O50" i="126"/>
  <c r="B35" i="132"/>
  <c r="M50" i="126"/>
  <c r="B36" i="132"/>
  <c r="T3" i="126"/>
  <c r="B43" i="132"/>
  <c r="L3" i="126"/>
  <c r="B12" i="132" s="1"/>
  <c r="AK6" i="126" l="1"/>
  <c r="AL6" i="126" s="1"/>
  <c r="AM6" i="126" s="1"/>
  <c r="AK32" i="126"/>
  <c r="AL32" i="126" s="1"/>
  <c r="AM32" i="126" s="1"/>
  <c r="AK7" i="126"/>
  <c r="AL7" i="126" s="1"/>
  <c r="AM7" i="126" s="1"/>
  <c r="AK22" i="126"/>
  <c r="AL22" i="126" s="1"/>
  <c r="AM22" i="126" s="1"/>
  <c r="AK8" i="126"/>
  <c r="AL8" i="126" s="1"/>
  <c r="AM8" i="126" s="1"/>
  <c r="AK16" i="126"/>
  <c r="AL16" i="126" s="1"/>
  <c r="AM16" i="126" s="1"/>
  <c r="AK30" i="126"/>
  <c r="AL30" i="126" s="1"/>
  <c r="AM30" i="126" s="1"/>
  <c r="AK24" i="126"/>
  <c r="AL24" i="126" s="1"/>
  <c r="AM24" i="126" s="1"/>
  <c r="AK5" i="126"/>
  <c r="AL5" i="126" s="1"/>
  <c r="AM5" i="126" s="1"/>
  <c r="AK14" i="126"/>
  <c r="AL14" i="126" s="1"/>
  <c r="AM14" i="126" s="1"/>
  <c r="AK48" i="126"/>
  <c r="AL48" i="126" s="1"/>
  <c r="AM48" i="126" s="1"/>
  <c r="AK35" i="126"/>
  <c r="AL35" i="126" s="1"/>
  <c r="AM35" i="126" s="1"/>
  <c r="AK38" i="126"/>
  <c r="AL38" i="126" s="1"/>
  <c r="AM38" i="126" s="1"/>
  <c r="AK12" i="126"/>
  <c r="AL12" i="126" s="1"/>
  <c r="AM12" i="126" s="1"/>
  <c r="B20" i="132"/>
  <c r="X3" i="126"/>
  <c r="D14" i="132" s="1"/>
  <c r="Z3" i="126"/>
  <c r="D37" i="132"/>
  <c r="N50" i="126"/>
  <c r="AB50" i="126"/>
  <c r="AC50" i="126"/>
  <c r="D13" i="132" l="1"/>
  <c r="D36" i="132"/>
  <c r="D40" i="132"/>
  <c r="R50" i="126"/>
  <c r="S50" i="126"/>
  <c r="Q50" i="126"/>
  <c r="D17" i="132" l="1"/>
  <c r="AE3" i="126"/>
  <c r="T50" i="126"/>
  <c r="L50" i="126"/>
  <c r="D20" i="132" l="1"/>
  <c r="Z50" i="126"/>
  <c r="AA50" i="126" s="1"/>
  <c r="X50" i="126"/>
  <c r="W3" i="126"/>
  <c r="AE50" i="126" l="1"/>
  <c r="W50" i="126" l="1"/>
  <c r="D43" i="132"/>
  <c r="F35" i="132" l="1"/>
  <c r="D41" i="132"/>
  <c r="F36" i="132" l="1"/>
  <c r="F41" i="132" s="1"/>
  <c r="D44" i="132" s="1"/>
  <c r="AH3" i="126" l="1"/>
  <c r="AH50" i="126" s="1"/>
  <c r="AG3" i="126"/>
  <c r="F12" i="132" l="1"/>
  <c r="AF3" i="126"/>
  <c r="AG50" i="126"/>
  <c r="AF50" i="126" s="1"/>
  <c r="AK50" i="126" s="1"/>
  <c r="AI3" i="126"/>
  <c r="D18" i="132" l="1"/>
  <c r="AK3" i="126"/>
  <c r="F13" i="132" s="1"/>
  <c r="F18" i="132" s="1"/>
  <c r="D21" i="132" s="1"/>
  <c r="AI50" i="126"/>
  <c r="AJ3" i="126"/>
  <c r="AL3" i="126" l="1"/>
  <c r="AM3" i="126" s="1"/>
  <c r="AJ50" i="126"/>
  <c r="AL50" i="126" l="1"/>
  <c r="AM50" i="126"/>
</calcChain>
</file>

<file path=xl/sharedStrings.xml><?xml version="1.0" encoding="utf-8"?>
<sst xmlns="http://schemas.openxmlformats.org/spreadsheetml/2006/main" count="259" uniqueCount="140">
  <si>
    <t>ردیف</t>
  </si>
  <si>
    <t xml:space="preserve">نام کارمند </t>
  </si>
  <si>
    <t>تاریخ شروع بکار</t>
  </si>
  <si>
    <t>تاریخ پایان کار</t>
  </si>
  <si>
    <t>پایه سنوات سال 1403</t>
  </si>
  <si>
    <t>تعداد روزهای ماه</t>
  </si>
  <si>
    <t>روزهای کارکرد فرد</t>
  </si>
  <si>
    <t xml:space="preserve">حقوق ماهیانه </t>
  </si>
  <si>
    <t>پایه سنوات ماهانه</t>
  </si>
  <si>
    <t>آیا کارگر متاهل است؟ (انتخاب کنید)</t>
  </si>
  <si>
    <t xml:space="preserve">حق تاهل </t>
  </si>
  <si>
    <t xml:space="preserve">تعداد فرزند </t>
  </si>
  <si>
    <t xml:space="preserve">حق اولاد </t>
  </si>
  <si>
    <t>مسکن</t>
  </si>
  <si>
    <t>خواربار</t>
  </si>
  <si>
    <t>جمع مزایا</t>
  </si>
  <si>
    <t>تعداد روز کارکرد از ابتدای سال تا امروز (جهت محاسبه عیدی)</t>
  </si>
  <si>
    <t>عيدي</t>
  </si>
  <si>
    <t>ماليات عيدي</t>
  </si>
  <si>
    <t>سنوات</t>
  </si>
  <si>
    <t>ساعت اضافه کاری</t>
  </si>
  <si>
    <t xml:space="preserve">اضافه کار </t>
  </si>
  <si>
    <t>حق مسئولیست</t>
  </si>
  <si>
    <t>حق ماموریت</t>
  </si>
  <si>
    <t>پاداش</t>
  </si>
  <si>
    <t xml:space="preserve">حقوق و مزایای مشمول بیمه </t>
  </si>
  <si>
    <t>حقوق و مزایای مشمول و غیر مشمول بیمه</t>
  </si>
  <si>
    <t xml:space="preserve">جمع حقوق و مزایا مشمول مالیات(بدون احتساب ماده 84) </t>
  </si>
  <si>
    <t xml:space="preserve">بيمه کارگر </t>
  </si>
  <si>
    <t xml:space="preserve">بیمه کارفرما </t>
  </si>
  <si>
    <t xml:space="preserve">بیمه بیکاری </t>
  </si>
  <si>
    <t xml:space="preserve">کل بیمه </t>
  </si>
  <si>
    <t xml:space="preserve">ماليات </t>
  </si>
  <si>
    <t>جمع کسورات</t>
  </si>
  <si>
    <t>خالص پرداختی</t>
  </si>
  <si>
    <t>متاهل</t>
  </si>
  <si>
    <t>مجرد</t>
  </si>
  <si>
    <t>سال استخدام</t>
  </si>
  <si>
    <t xml:space="preserve">سال کارکرد </t>
  </si>
  <si>
    <t>فیش حقوقی - شرکت</t>
  </si>
  <si>
    <t>مشخصات کارگر/کارمند</t>
  </si>
  <si>
    <t>تاریخ صدور فیش</t>
  </si>
  <si>
    <t>فیش حقوقی دوره</t>
  </si>
  <si>
    <t>نام و نام خانوادگی</t>
  </si>
  <si>
    <t>نام پدر</t>
  </si>
  <si>
    <t>کدملی</t>
  </si>
  <si>
    <t>شماره بیمه</t>
  </si>
  <si>
    <t>مدرک تحصیلی</t>
  </si>
  <si>
    <t>سمت شغلی</t>
  </si>
  <si>
    <t>وضعیت تاهل</t>
  </si>
  <si>
    <t>تعداد روزهای کارکرد</t>
  </si>
  <si>
    <t>نام بانک و پرداخت کننده</t>
  </si>
  <si>
    <t>تعدا روز ماموریت</t>
  </si>
  <si>
    <t>تعداد ساعت اضافه کاری</t>
  </si>
  <si>
    <t>حقوق، مزایا و کسورات</t>
  </si>
  <si>
    <t>حقوق و مزایا</t>
  </si>
  <si>
    <t>کسورات</t>
  </si>
  <si>
    <t>حقوق پایه</t>
  </si>
  <si>
    <t>بیمه سهم کارگر</t>
  </si>
  <si>
    <t>پایه سنوات</t>
  </si>
  <si>
    <t>اضافه کاری</t>
  </si>
  <si>
    <t>مالیات حقوق</t>
  </si>
  <si>
    <t>حق مسئولیت</t>
  </si>
  <si>
    <t>حق سنوات</t>
  </si>
  <si>
    <t>مساعده</t>
  </si>
  <si>
    <t>-</t>
  </si>
  <si>
    <t>حق خواروبار</t>
  </si>
  <si>
    <t>سایر اقلام صرفا مشمول بیمه</t>
  </si>
  <si>
    <t>وام</t>
  </si>
  <si>
    <t>حق مسکن</t>
  </si>
  <si>
    <t>سایر اقلام مشمول بیمه و مالیات</t>
  </si>
  <si>
    <t>سایر کسورات قانونی</t>
  </si>
  <si>
    <t>حق تاهل</t>
  </si>
  <si>
    <t>جمع حقوق و مزایای مشمول بیمه</t>
  </si>
  <si>
    <t>سایر کسورات توافقی</t>
  </si>
  <si>
    <t>حق اولاد</t>
  </si>
  <si>
    <t>جمع حقوق و مزایای مشمول مالیات</t>
  </si>
  <si>
    <t>مرخصی استفاده نشده</t>
  </si>
  <si>
    <t>عیدی و پاداش</t>
  </si>
  <si>
    <t>کل حقوق و مزایا</t>
  </si>
  <si>
    <t>خالص حقوق پرداختنی</t>
  </si>
  <si>
    <t>امضا کارگر/کارمند</t>
  </si>
  <si>
    <t>امضا حسابداری</t>
  </si>
  <si>
    <t>پایه سنوات روزانه تا پایان 30 اسفند 1403
با احتساب افزایش حقوق 1404</t>
  </si>
  <si>
    <t>حقوق سال 1403</t>
  </si>
  <si>
    <t>تعداد سال کارکرد
تاپایان سال 1403</t>
  </si>
  <si>
    <t>www.mali-ban.ir</t>
  </si>
  <si>
    <t>@alinajimi.finance</t>
  </si>
  <si>
    <t>حقوق روزانه سال 1404</t>
  </si>
  <si>
    <t>پایه سنوات 404</t>
  </si>
  <si>
    <t>پایه سنوات سال 1404</t>
  </si>
  <si>
    <t>کارمند 1</t>
  </si>
  <si>
    <t>کارمند 2</t>
  </si>
  <si>
    <t>کارمند 3</t>
  </si>
  <si>
    <t>کارمند 4</t>
  </si>
  <si>
    <t>کارمند 5</t>
  </si>
  <si>
    <t>کارمند 6</t>
  </si>
  <si>
    <t>کارمند 7</t>
  </si>
  <si>
    <t>کارمند 8</t>
  </si>
  <si>
    <t>کارمند 9</t>
  </si>
  <si>
    <t>کارمند 10</t>
  </si>
  <si>
    <t>کارمند 11</t>
  </si>
  <si>
    <t>کارمند 12</t>
  </si>
  <si>
    <t>کارمند 13</t>
  </si>
  <si>
    <t>کارمند 14</t>
  </si>
  <si>
    <t>کارمند 15</t>
  </si>
  <si>
    <t>کارمند 16</t>
  </si>
  <si>
    <t>کارمند 17</t>
  </si>
  <si>
    <t>کارمند 18</t>
  </si>
  <si>
    <t>کارمند 19</t>
  </si>
  <si>
    <t>کارمند 20</t>
  </si>
  <si>
    <t>کارمند 21</t>
  </si>
  <si>
    <t>کارمند 22</t>
  </si>
  <si>
    <t>کارمند 23</t>
  </si>
  <si>
    <t>کارمند 24</t>
  </si>
  <si>
    <t>کارمند 25</t>
  </si>
  <si>
    <t>کارمند 26</t>
  </si>
  <si>
    <t>کارمند 27</t>
  </si>
  <si>
    <t>کارمند 28</t>
  </si>
  <si>
    <t>کارمند 29</t>
  </si>
  <si>
    <t>کارمند 30</t>
  </si>
  <si>
    <t>کارمند 31</t>
  </si>
  <si>
    <t>کارمند 32</t>
  </si>
  <si>
    <t>کارمند 33</t>
  </si>
  <si>
    <t>کارمند 34</t>
  </si>
  <si>
    <t>کارمند 35</t>
  </si>
  <si>
    <t>کارمند 36</t>
  </si>
  <si>
    <t>کارمند 37</t>
  </si>
  <si>
    <t>کارمند 38</t>
  </si>
  <si>
    <t>کارمند 39</t>
  </si>
  <si>
    <t>کارمند 40</t>
  </si>
  <si>
    <t>کارمند 41</t>
  </si>
  <si>
    <t>کارمند 42</t>
  </si>
  <si>
    <t>کارمند 43</t>
  </si>
  <si>
    <t>کارمند 44</t>
  </si>
  <si>
    <t>کارمند 45</t>
  </si>
  <si>
    <t>کارمند 46</t>
  </si>
  <si>
    <t>کارمند 47</t>
  </si>
  <si>
    <t>نخبه حساب</t>
  </si>
  <si>
    <r>
      <t>همکار گرامی سلام،
چند نکته برای استفاده از این اکسل:
(</t>
    </r>
    <r>
      <rPr>
        <b/>
        <sz val="14"/>
        <color theme="1"/>
        <rFont val="B Zar"/>
        <charset val="178"/>
      </rPr>
      <t>فقط سلول ها با سرستون سبز رنگ نیاز به ورود اطلاعات توسط شما دارد، اعداد سایر سلول ها به صورت اتوماتیک محاسبه میشود.)</t>
    </r>
    <r>
      <rPr>
        <sz val="13"/>
        <color theme="1"/>
        <rFont val="B Zar"/>
        <charset val="178"/>
      </rPr>
      <t xml:space="preserve">
1. برای محاسبه پایه سنوات کافی است تعداد سال کارکرد تا پایان سال 1403 را وارد کنید و پایه سنوات تا پایان سال 1403 محاسبه میشود. پایه سنوات سال 1404 در زمان سالگرد استخدام کارگر مبلغ 94،000 ریال روزانه به پایه سنوات اضافه میشود.
2.فیلد حقوق روزانه سال 1403 را به صورت دستی وارد کنید و خود اکسل حقوق روزانه سال 1404 را محاسبه میکند. (سایر سطوح مزدی هم به صورت خودکار محاسبه میشود.)
3.برای محاسبه حق تاهل فقط کافی است مجرد یا متاهل بودن را انتخاب کنید، خود اکسل محاسبات مربوط را انجام میدهد.
4.برای محاسبه حق اولاد فقط تعداد فرزند را وارد کنید.
5.برای محاسبه عیدی و سنوات، فقط تعداد روزهای کارکرد از ابتدای سال تا پایان ماه مورد محاسبه را وارد کنید، سایر محاسبات توسط خود اکسل تهیه میشود.
6. سایر محاسبات اعم از بیمه و مالیات به صورت اتوماتیک انجام میشود و نیازی به تغییر این فیلدها نیست.
7. فیلدهایی که نیاز به وارد کردن دستی اطاعات دارند شامل تعداد روز کارکرد، حقوق روزانه سال پیش ، تعداد سال کارکرد تا پایان سال 1403، تعداد روز کارکرد از ابتدای سال برای محاسبه عیدی، مجرد یا متاهل بودن کارمند، تعداد ساعت اضافه کاری، هستند. سایر فیلدها نیازی به تغییر دستی نداشته و خود اکسل محاسبه میکند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</si>
</sst>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3">
    <font>
      <sz val="11"/>
      <color theme="1"/>
      <name val="Calibri"/>
      <family val="2"/>
      <charset val="178"/>
      <scheme val="minor"/>
    </font>
    <font>
      <sz val="11"/>
      <color theme="1"/>
      <name val="Calibri"/>
      <family val="2"/>
      <charset val="178"/>
      <scheme val="minor"/>
    </font>
    <font>
      <b/>
      <sz val="13"/>
      <color theme="1"/>
      <name val="B Nazanin"/>
      <charset val="178"/>
    </font>
    <font>
      <sz val="13"/>
      <color theme="1"/>
      <name val="B Nazanin"/>
      <charset val="178"/>
    </font>
    <font>
      <b/>
      <sz val="11"/>
      <color theme="1"/>
      <name val="B Nazanin"/>
      <charset val="178"/>
    </font>
    <font>
      <sz val="8"/>
      <name val="Calibri"/>
      <family val="2"/>
      <charset val="178"/>
      <scheme val="minor"/>
    </font>
    <font>
      <sz val="13"/>
      <color theme="1"/>
      <name val="B Zar"/>
      <charset val="178"/>
    </font>
    <font>
      <sz val="14"/>
      <color theme="1"/>
      <name val="B Zar"/>
      <charset val="178"/>
    </font>
    <font>
      <b/>
      <sz val="14"/>
      <color theme="1"/>
      <name val="B Zar"/>
      <charset val="178"/>
    </font>
    <font>
      <b/>
      <sz val="9"/>
      <color theme="1"/>
      <name val="B Nazanin"/>
      <charset val="178"/>
    </font>
    <font>
      <sz val="11"/>
      <color theme="1"/>
      <name val="B Nazanin"/>
      <charset val="178"/>
    </font>
    <font>
      <b/>
      <sz val="10"/>
      <color theme="1"/>
      <name val="B Nazanin"/>
      <charset val="178"/>
    </font>
    <font>
      <b/>
      <sz val="14"/>
      <color theme="1"/>
      <name val="B Nazanin"/>
      <charset val="178"/>
    </font>
    <font>
      <sz val="14"/>
      <color theme="1"/>
      <name val="B Nazanin"/>
      <charset val="178"/>
    </font>
    <font>
      <sz val="14"/>
      <color theme="1"/>
      <name val="B Titr"/>
      <charset val="178"/>
    </font>
    <font>
      <b/>
      <sz val="14"/>
      <color theme="1"/>
      <name val="B Titr"/>
      <charset val="178"/>
    </font>
    <font>
      <b/>
      <sz val="13"/>
      <color theme="0"/>
      <name val="B Nazanin"/>
      <charset val="178"/>
    </font>
    <font>
      <b/>
      <sz val="12"/>
      <color rgb="FF2C2F34"/>
      <name val="Sahel"/>
    </font>
    <font>
      <sz val="12"/>
      <color rgb="FF2C2F34"/>
      <name val="Sahel"/>
    </font>
    <font>
      <u/>
      <sz val="11"/>
      <color theme="10"/>
      <name val="Calibri"/>
      <family val="2"/>
      <charset val="178"/>
      <scheme val="minor"/>
    </font>
    <font>
      <u/>
      <sz val="28"/>
      <color theme="10"/>
      <name val="Calibri"/>
      <family val="2"/>
      <charset val="178"/>
      <scheme val="minor"/>
    </font>
    <font>
      <sz val="28"/>
      <color theme="1"/>
      <name val="B Nazanin"/>
      <charset val="178"/>
    </font>
    <font>
      <u/>
      <sz val="26"/>
      <color theme="10"/>
      <name val="Calibri"/>
      <family val="2"/>
      <charset val="178"/>
      <scheme val="minor"/>
    </font>
  </fonts>
  <fills count="6">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4" fontId="1" fillId="0" borderId="0" applyFont="0" applyFill="0" applyBorder="0" applyAlignment="0" applyProtection="0"/>
    <xf numFmtId="0" fontId="19" fillId="0" borderId="0" applyNumberFormat="0" applyFill="0" applyBorder="0" applyAlignment="0" applyProtection="0"/>
  </cellStyleXfs>
  <cellXfs count="71">
    <xf numFmtId="0" fontId="0" fillId="0" borderId="0" xfId="0"/>
    <xf numFmtId="165" fontId="3" fillId="0" borderId="0" xfId="1" applyNumberFormat="1" applyFont="1" applyFill="1" applyAlignment="1">
      <alignment horizontal="center"/>
    </xf>
    <xf numFmtId="165" fontId="2" fillId="0" borderId="5" xfId="1" applyNumberFormat="1" applyFont="1" applyFill="1" applyBorder="1" applyAlignment="1">
      <alignment horizontal="center" vertical="center" wrapText="1"/>
    </xf>
    <xf numFmtId="165" fontId="4" fillId="0" borderId="5" xfId="1" applyNumberFormat="1" applyFont="1" applyFill="1" applyBorder="1" applyAlignment="1">
      <alignment horizontal="center" vertical="center" wrapText="1"/>
    </xf>
    <xf numFmtId="165" fontId="2" fillId="0" borderId="6" xfId="1" applyNumberFormat="1" applyFont="1" applyFill="1" applyBorder="1" applyAlignment="1">
      <alignment horizontal="center" vertical="center" wrapText="1"/>
    </xf>
    <xf numFmtId="0" fontId="9" fillId="3" borderId="1" xfId="0" applyFont="1" applyFill="1" applyBorder="1"/>
    <xf numFmtId="0" fontId="9" fillId="0" borderId="1" xfId="0" applyFont="1" applyBorder="1"/>
    <xf numFmtId="165" fontId="9" fillId="0" borderId="1" xfId="1" applyNumberFormat="1" applyFont="1" applyBorder="1" applyAlignment="1">
      <alignment horizontal="right"/>
    </xf>
    <xf numFmtId="0" fontId="9" fillId="0" borderId="1" xfId="0" applyFont="1" applyBorder="1" applyAlignment="1">
      <alignment horizontal="right"/>
    </xf>
    <xf numFmtId="165" fontId="9" fillId="0" borderId="1" xfId="1" applyNumberFormat="1" applyFont="1" applyBorder="1"/>
    <xf numFmtId="0" fontId="10" fillId="0" borderId="0" xfId="0" applyFont="1"/>
    <xf numFmtId="0" fontId="9" fillId="0" borderId="0" xfId="0" applyFont="1"/>
    <xf numFmtId="165" fontId="2" fillId="0" borderId="4" xfId="1" applyNumberFormat="1" applyFont="1" applyFill="1" applyBorder="1" applyAlignment="1">
      <alignment horizontal="center" wrapText="1"/>
    </xf>
    <xf numFmtId="165" fontId="12" fillId="0" borderId="1" xfId="1" applyNumberFormat="1" applyFont="1" applyFill="1" applyBorder="1" applyAlignment="1">
      <alignment horizontal="center" vertical="center" wrapText="1"/>
    </xf>
    <xf numFmtId="165" fontId="12" fillId="0" borderId="7" xfId="1" applyNumberFormat="1" applyFont="1" applyFill="1" applyBorder="1" applyAlignment="1">
      <alignment wrapText="1"/>
    </xf>
    <xf numFmtId="165" fontId="12" fillId="0" borderId="8" xfId="1" applyNumberFormat="1" applyFont="1" applyFill="1" applyBorder="1" applyAlignment="1">
      <alignment wrapText="1"/>
    </xf>
    <xf numFmtId="165" fontId="12" fillId="0" borderId="9" xfId="1" applyNumberFormat="1" applyFont="1" applyFill="1" applyBorder="1" applyAlignment="1">
      <alignment horizontal="center" wrapText="1"/>
    </xf>
    <xf numFmtId="165" fontId="12" fillId="0" borderId="7" xfId="1" applyNumberFormat="1" applyFont="1" applyFill="1" applyBorder="1" applyAlignment="1">
      <alignment horizontal="center" wrapText="1"/>
    </xf>
    <xf numFmtId="165" fontId="12" fillId="0" borderId="10" xfId="1" applyNumberFormat="1" applyFont="1" applyFill="1" applyBorder="1" applyAlignment="1">
      <alignment horizontal="center" wrapText="1"/>
    </xf>
    <xf numFmtId="165" fontId="12" fillId="0" borderId="3" xfId="1" applyNumberFormat="1" applyFont="1" applyFill="1" applyBorder="1" applyAlignment="1">
      <alignment horizontal="center" wrapText="1"/>
    </xf>
    <xf numFmtId="165" fontId="12" fillId="0" borderId="1" xfId="1" applyNumberFormat="1" applyFont="1" applyFill="1" applyBorder="1" applyAlignment="1">
      <alignment horizontal="center" vertical="center"/>
    </xf>
    <xf numFmtId="165" fontId="12" fillId="0" borderId="1" xfId="1" applyNumberFormat="1" applyFont="1" applyFill="1" applyBorder="1" applyAlignment="1">
      <alignment horizontal="center" wrapText="1"/>
    </xf>
    <xf numFmtId="165" fontId="12" fillId="0" borderId="2" xfId="1" applyNumberFormat="1" applyFont="1" applyFill="1" applyBorder="1" applyAlignment="1">
      <alignment horizontal="center" vertical="center" wrapText="1"/>
    </xf>
    <xf numFmtId="0" fontId="3" fillId="0" borderId="0" xfId="0" applyFont="1" applyAlignment="1">
      <alignment horizontal="center" wrapText="1"/>
    </xf>
    <xf numFmtId="0" fontId="13" fillId="0" borderId="0" xfId="0" applyFont="1" applyAlignment="1">
      <alignment horizontal="center" wrapText="1"/>
    </xf>
    <xf numFmtId="0" fontId="15" fillId="0" borderId="1" xfId="0" applyFont="1" applyBorder="1" applyAlignment="1">
      <alignment horizontal="center" vertical="center"/>
    </xf>
    <xf numFmtId="0" fontId="7" fillId="0" borderId="1" xfId="0" applyFont="1" applyBorder="1" applyAlignment="1">
      <alignment horizontal="right" vertical="top" wrapText="1"/>
    </xf>
    <xf numFmtId="0" fontId="8" fillId="0" borderId="1" xfId="0" applyFont="1" applyBorder="1" applyAlignment="1">
      <alignment horizontal="center" vertical="center"/>
    </xf>
    <xf numFmtId="0" fontId="7" fillId="0" borderId="1" xfId="0" applyFont="1" applyBorder="1" applyAlignment="1">
      <alignment horizontal="center" vertical="top" wrapText="1"/>
    </xf>
    <xf numFmtId="0" fontId="14" fillId="0" borderId="1" xfId="0" applyFont="1" applyBorder="1" applyAlignment="1">
      <alignment horizontal="center" vertical="center"/>
    </xf>
    <xf numFmtId="0" fontId="8" fillId="0" borderId="1" xfId="0" applyFont="1" applyBorder="1"/>
    <xf numFmtId="1" fontId="8" fillId="0" borderId="1" xfId="0" applyNumberFormat="1" applyFont="1" applyBorder="1" applyAlignment="1">
      <alignment horizontal="center" vertical="center"/>
    </xf>
    <xf numFmtId="1" fontId="13" fillId="0" borderId="0" xfId="0" applyNumberFormat="1" applyFont="1" applyAlignment="1">
      <alignment horizontal="center" wrapText="1"/>
    </xf>
    <xf numFmtId="0" fontId="15" fillId="0" borderId="0" xfId="0" applyFont="1" applyAlignment="1">
      <alignment horizontal="center" wrapText="1"/>
    </xf>
    <xf numFmtId="165" fontId="12" fillId="0" borderId="8" xfId="0" applyNumberFormat="1" applyFont="1" applyBorder="1" applyAlignment="1">
      <alignment horizontal="center" wrapText="1"/>
    </xf>
    <xf numFmtId="165" fontId="12" fillId="0" borderId="9" xfId="0" applyNumberFormat="1" applyFont="1" applyBorder="1" applyAlignment="1">
      <alignment horizontal="center" vertical="center" wrapText="1"/>
    </xf>
    <xf numFmtId="165" fontId="12" fillId="0" borderId="9" xfId="0" applyNumberFormat="1" applyFont="1" applyBorder="1" applyAlignment="1">
      <alignment horizontal="center" wrapText="1"/>
    </xf>
    <xf numFmtId="165" fontId="12" fillId="0" borderId="10" xfId="0" applyNumberFormat="1" applyFont="1" applyBorder="1" applyAlignment="1">
      <alignment horizontal="center" vertical="center" wrapText="1"/>
    </xf>
    <xf numFmtId="0" fontId="3" fillId="0" borderId="0" xfId="0" applyFont="1" applyAlignment="1">
      <alignment horizontal="center"/>
    </xf>
    <xf numFmtId="165" fontId="2" fillId="4" borderId="5" xfId="1" applyNumberFormat="1" applyFont="1" applyFill="1" applyBorder="1" applyAlignment="1">
      <alignment horizontal="center" vertical="center" wrapText="1"/>
    </xf>
    <xf numFmtId="165" fontId="16" fillId="4" borderId="5" xfId="1" applyNumberFormat="1" applyFont="1" applyFill="1" applyBorder="1" applyAlignment="1">
      <alignment horizontal="center" vertical="center" wrapText="1"/>
    </xf>
    <xf numFmtId="165" fontId="4" fillId="4" borderId="5" xfId="1" applyNumberFormat="1" applyFont="1" applyFill="1" applyBorder="1" applyAlignment="1">
      <alignment horizontal="center" vertical="center" wrapText="1"/>
    </xf>
    <xf numFmtId="165" fontId="11" fillId="4" borderId="5" xfId="1" applyNumberFormat="1" applyFont="1" applyFill="1" applyBorder="1" applyAlignment="1">
      <alignment horizontal="center" wrapText="1"/>
    </xf>
    <xf numFmtId="0" fontId="0" fillId="5" borderId="0" xfId="0" applyFill="1"/>
    <xf numFmtId="0" fontId="17" fillId="5" borderId="0" xfId="0" applyFont="1" applyFill="1" applyAlignment="1">
      <alignment horizontal="center" vertical="center" wrapText="1"/>
    </xf>
    <xf numFmtId="0" fontId="18" fillId="5" borderId="0" xfId="0" applyFont="1" applyFill="1" applyAlignment="1">
      <alignment horizontal="center" vertical="center" wrapText="1"/>
    </xf>
    <xf numFmtId="3" fontId="18" fillId="5" borderId="0" xfId="0" applyNumberFormat="1" applyFont="1" applyFill="1" applyAlignment="1">
      <alignment horizontal="center" vertical="center" wrapText="1"/>
    </xf>
    <xf numFmtId="0" fontId="6" fillId="0" borderId="0" xfId="0" applyFont="1" applyAlignment="1">
      <alignment horizontal="right" vertical="top" wrapText="1" readingOrder="2"/>
    </xf>
    <xf numFmtId="0" fontId="6" fillId="0" borderId="0" xfId="0" applyFont="1" applyAlignment="1">
      <alignment horizontal="right" vertical="top" readingOrder="2"/>
    </xf>
    <xf numFmtId="0" fontId="14" fillId="0" borderId="2"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horizontal="center" vertical="center"/>
    </xf>
    <xf numFmtId="0" fontId="20" fillId="0" borderId="0" xfId="3" applyFont="1" applyAlignment="1">
      <alignment horizontal="center" vertical="center" wrapText="1"/>
    </xf>
    <xf numFmtId="0" fontId="20" fillId="0" borderId="0" xfId="3" applyFont="1" applyAlignment="1">
      <alignment horizontal="center"/>
    </xf>
    <xf numFmtId="0" fontId="21" fillId="0" borderId="0" xfId="0" applyFont="1" applyAlignment="1">
      <alignment horizontal="center"/>
    </xf>
    <xf numFmtId="49" fontId="22" fillId="0" borderId="0" xfId="3" applyNumberFormat="1" applyFont="1" applyAlignment="1">
      <alignment horizontal="center"/>
    </xf>
    <xf numFmtId="0" fontId="9" fillId="2" borderId="1" xfId="0" applyFont="1" applyFill="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3" xfId="0" applyFont="1" applyBorder="1" applyAlignment="1">
      <alignment horizontal="center" vertical="center"/>
    </xf>
    <xf numFmtId="165" fontId="9" fillId="0" borderId="2" xfId="0" applyNumberFormat="1" applyFont="1" applyBorder="1" applyAlignment="1">
      <alignment horizontal="center" vertical="center"/>
    </xf>
    <xf numFmtId="165" fontId="9" fillId="0" borderId="11" xfId="0" applyNumberFormat="1" applyFont="1" applyBorder="1" applyAlignment="1">
      <alignment horizontal="center" vertical="center"/>
    </xf>
    <xf numFmtId="165" fontId="9" fillId="0" borderId="3" xfId="0" applyNumberFormat="1" applyFont="1" applyBorder="1" applyAlignment="1">
      <alignment horizontal="center" vertical="center"/>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2" borderId="2" xfId="0" applyFont="1" applyFill="1" applyBorder="1" applyAlignment="1">
      <alignment horizontal="center"/>
    </xf>
    <xf numFmtId="0" fontId="9" fillId="2" borderId="11" xfId="0" applyFont="1" applyFill="1" applyBorder="1" applyAlignment="1">
      <alignment horizontal="center"/>
    </xf>
    <xf numFmtId="0" fontId="9" fillId="2" borderId="3" xfId="0" applyFont="1" applyFill="1" applyBorder="1" applyAlignment="1">
      <alignment horizontal="center"/>
    </xf>
    <xf numFmtId="0" fontId="9" fillId="3" borderId="11" xfId="0" applyFont="1" applyFill="1" applyBorder="1" applyAlignment="1">
      <alignment horizontal="center"/>
    </xf>
  </cellXfs>
  <cellStyles count="4">
    <cellStyle name="Comma" xfId="1" builtinId="3"/>
    <cellStyle name="Comma 2" xfId="2" xr:uid="{00000000-0005-0000-0000-000001000000}"/>
    <cellStyle name="Hyperlink" xfId="3" builtinId="8"/>
    <cellStyle name="Normal" xfId="0" builtinId="0"/>
  </cellStyles>
  <dxfs count="84">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alignment horizontal="center" vertical="bottom" textRotation="0" wrapText="1"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numFmt numFmtId="165" formatCode="_-* #,##0_-;_-* #,##0\-;_-* &quot;-&quot;??_-;_-@_-"/>
      <fill>
        <patternFill patternType="none">
          <fgColor indexed="64"/>
          <bgColor auto="1"/>
        </patternFill>
      </fill>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3"/>
        <color theme="1"/>
        <name val="B Nazanin"/>
        <charset val="178"/>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99CC0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7F0987-C489-4AA4-BB1F-776865003049}" name="Table1" displayName="Table1" ref="A2:AM51" totalsRowCount="1" headerRowDxfId="83" dataDxfId="81" totalsRowDxfId="79" headerRowBorderDxfId="82" tableBorderDxfId="80" totalsRowBorderDxfId="78" headerRowCellStyle="Comma" dataCellStyle="Comma">
  <autoFilter ref="A2:AM50" xr:uid="{4A7F0987-C489-4AA4-BB1F-776865003049}"/>
  <tableColumns count="39">
    <tableColumn id="1" xr3:uid="{61C9E574-6DF2-46A1-AB02-D4DBE863055A}" name="ردیف" dataDxfId="77" totalsRowDxfId="76" dataCellStyle="Comma"/>
    <tableColumn id="2" xr3:uid="{A8C51A0B-1E5F-4945-8EA2-977B8F723473}" name="نام کارمند " dataDxfId="75" totalsRowDxfId="74" dataCellStyle="Comma"/>
    <tableColumn id="43" xr3:uid="{7BDF63B2-4100-401F-B950-329A06F16E14}" name="تاریخ شروع بکار" dataDxfId="73" totalsRowDxfId="72" dataCellStyle="Comma"/>
    <tableColumn id="36" xr3:uid="{12336BDC-DD5C-4EE6-AA4A-8477B548085A}" name="تاریخ پایان کار" dataDxfId="71" totalsRowDxfId="70" dataCellStyle="Comma"/>
    <tableColumn id="3" xr3:uid="{430AEF09-8CC7-4BD2-9AB3-20E2C7216DB4}" name="حقوق سال 1403" dataDxfId="69" totalsRowDxfId="68" dataCellStyle="Comma"/>
    <tableColumn id="4" xr3:uid="{528CE8E3-FABA-4647-882B-BD5DFB42E06E}" name="تعداد سال کارکرد_x000a_تاپایان سال 1403" dataDxfId="67" totalsRowDxfId="66" dataCellStyle="Comma"/>
    <tableColumn id="5" xr3:uid="{8A9B5B96-CBE5-4FDE-8C32-BB4EE089E199}" name="پایه سنوات روزانه تا پایان 30 اسفند 1403_x000a_با احتساب افزایش حقوق 1404" dataDxfId="65" totalsRowDxfId="64" dataCellStyle="Comma">
      <calculatedColumnFormula>(IFERROR(VLOOKUP(F3,BD$164:BE$194,2,0),0))*1.32</calculatedColumnFormula>
    </tableColumn>
    <tableColumn id="41" xr3:uid="{6ADF36C1-9849-4A60-8F31-F69961EBECDB}" name="پایه سنوات سال 1404" dataDxfId="63" totalsRowDxfId="62" dataCellStyle="Comma">
      <calculatedColumnFormula>IF(#REF!=1,70000,0)</calculatedColumnFormula>
    </tableColumn>
    <tableColumn id="6" xr3:uid="{75349858-E1B1-4E38-9EED-F89E753D8BDC}" name="حقوق روزانه سال 1404" dataDxfId="61" totalsRowDxfId="60" dataCellStyle="Comma">
      <calculatedColumnFormula>IF(Table1[[#This Row],[حقوق سال 1403]]=2388728,3463656,(Table1[[#This Row],[حقوق سال 1403]]*1.32+310535))</calculatedColumnFormula>
    </tableColumn>
    <tableColumn id="33" xr3:uid="{7BDF321A-4044-4912-9E94-82EEE2994D8B}" name="تعداد روزهای ماه" dataDxfId="59" totalsRowDxfId="58" dataCellStyle="Comma"/>
    <tableColumn id="7" xr3:uid="{6BF0CC8C-F04D-4557-B6B1-CE28BAD77C5D}" name="روزهای کارکرد فرد" dataDxfId="57" totalsRowDxfId="56" dataCellStyle="Comma"/>
    <tableColumn id="8" xr3:uid="{79F55FC4-9AD2-45D0-8497-CC9DA36CC279}" name="حقوق ماهیانه " dataDxfId="55" totalsRowDxfId="54" dataCellStyle="Comma">
      <calculatedColumnFormula>Table1[[#This Row],[حقوق روزانه سال 1404]]*Table1[[#This Row],[روزهای کارکرد فرد]]</calculatedColumnFormula>
    </tableColumn>
    <tableColumn id="37" xr3:uid="{238D6650-E436-46AB-B69B-F314B1AA7935}" name="پایه سنوات ماهانه" dataDxfId="53" totalsRowDxfId="52" dataCellStyle="Comma">
      <calculatedColumnFormula>(Table1[[#This Row],[پایه سنوات روزانه تا پایان 30 اسفند 1403
با احتساب افزایش حقوق 1404]]+Table1[[#This Row],[پایه سنوات سال 1404]])*Table1[[#This Row],[روزهای کارکرد فرد]]</calculatedColumnFormula>
    </tableColumn>
    <tableColumn id="9" xr3:uid="{EF55E157-A358-4715-B6DD-F5371219FB48}" name="آیا کارگر متاهل است؟ (انتخاب کنید)" dataDxfId="51" totalsRowDxfId="50" dataCellStyle="Comma"/>
    <tableColumn id="10" xr3:uid="{E36CDEF3-A3D3-4AD9-8297-313D35407457}" name="حق تاهل " dataDxfId="49" totalsRowDxfId="48" dataCellStyle="Comma"/>
    <tableColumn id="11" xr3:uid="{3A1489A3-FCB0-4880-B6A1-F9094DCC0413}" name="تعداد فرزند " dataDxfId="47" totalsRowDxfId="46" dataCellStyle="Comma"/>
    <tableColumn id="12" xr3:uid="{8DCFE009-3548-4420-B721-D1C87C293FE5}" name="حق اولاد " dataDxfId="45" totalsRowDxfId="44" dataCellStyle="Comma"/>
    <tableColumn id="13" xr3:uid="{13A39D99-2445-4AC6-9299-70DFDAA3AE1B}" name="مسکن" dataDxfId="43" totalsRowDxfId="42" dataCellStyle="Comma"/>
    <tableColumn id="14" xr3:uid="{7ED1250C-423F-45B7-AD43-12DF4CB4A620}" name="خواربار" dataDxfId="41" totalsRowDxfId="40" dataCellStyle="Comma"/>
    <tableColumn id="38" xr3:uid="{80BA6807-FB3C-483D-AFDC-1808A0F9C036}" name="جمع مزایا" dataDxfId="39" totalsRowDxfId="38" dataCellStyle="Comma">
      <calculatedColumnFormula>Table1[[#This Row],[خواربار]]+Table1[[#This Row],[مسکن]]+Table1[[#This Row],[حق تاهل ]]</calculatedColumnFormula>
    </tableColumn>
    <tableColumn id="15" xr3:uid="{A928CAB6-FE21-4A81-84B9-408E02D86D5C}" name="تعداد روز کارکرد از ابتدای سال تا امروز (جهت محاسبه عیدی)" dataDxfId="37" totalsRowDxfId="36" dataCellStyle="Comma"/>
    <tableColumn id="16" xr3:uid="{E43491A6-9927-4FDE-93BA-2AD4FF3B046B}" name="عيدي" dataDxfId="35" totalsRowDxfId="34" dataCellStyle="Comma">
      <calculatedColumnFormula>MIN((((I3)*60)/366*U3),214985520)</calculatedColumnFormula>
    </tableColumn>
    <tableColumn id="17" xr3:uid="{A7095A3C-FCAF-4DF0-B6AF-838AEAA50DA7}" name="ماليات عيدي" dataDxfId="33" totalsRowDxfId="32" dataCellStyle="Comma"/>
    <tableColumn id="18" xr3:uid="{AEAC8524-01D7-4345-AB1C-F144B1D232A0}" name="سنوات" dataDxfId="31" totalsRowDxfId="30" dataCellStyle="Comma">
      <calculatedColumnFormula>((Table1[[#This Row],[حقوق روزانه سال 1404]]*30)/366)*Table1[[#This Row],[تعداد روز کارکرد از ابتدای سال تا امروز (جهت محاسبه عیدی)]]</calculatedColumnFormula>
    </tableColumn>
    <tableColumn id="19" xr3:uid="{D74338B4-9CBC-446A-8F19-A77CCCC908BA}" name="ساعت اضافه کاری" dataDxfId="29" totalsRowDxfId="28" dataCellStyle="Comma"/>
    <tableColumn id="20" xr3:uid="{2C8E75DE-CD74-4890-9746-401A1E39D5C7}" name="اضافه کار " dataDxfId="27" totalsRowDxfId="26" dataCellStyle="Comma"/>
    <tableColumn id="42" xr3:uid="{261EDE0E-BBF9-4E2A-A63B-F3FFF42EF85B}" name="حق مسئولیست" dataDxfId="25" totalsRowDxfId="24" dataCellStyle="Comma">
      <calculatedColumnFormula>IF(Table1[[#This Row],[اضافه کار ]]&lt;10,Table1[[#This Row],[اضافه کار ]],10)</calculatedColumnFormula>
    </tableColumn>
    <tableColumn id="21" xr3:uid="{5E1600CA-6DF7-48A2-A661-3CABC29EEB2D}" name="حق ماموریت" dataDxfId="23" totalsRowDxfId="22" dataCellStyle="Comma"/>
    <tableColumn id="22" xr3:uid="{516065E5-55C1-4F91-8DD2-8704A11485C8}" name="پاداش" dataDxfId="21" totalsRowDxfId="20" dataCellStyle="Comma"/>
    <tableColumn id="23" xr3:uid="{80451E2F-BCE6-48E3-ACE7-599ED4107B34}" name="حقوق و مزایای مشمول بیمه " dataDxfId="19" totalsRowDxfId="18" dataCellStyle="Comma">
      <calculatedColumnFormula>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calculatedColumnFormula>
    </tableColumn>
    <tableColumn id="24" xr3:uid="{201C7029-4125-4D2E-9E3A-F3FE5EA8D458}" name="حقوق و مزایای مشمول و غیر مشمول بیمه" dataDxfId="17" totalsRowDxfId="16" dataCellStyle="Comma">
      <calculatedColumnFormula>L3+Q3+R3+AB3+AC3+Z3+S3+O3+Table1[[#This Row],[پایه سنوات ماهانه]]+Table1[[#This Row],[عيدي]]+Table1[[#This Row],[سنوات]]</calculatedColumnFormula>
    </tableColumn>
    <tableColumn id="25" xr3:uid="{08D88221-891E-41F2-B079-7B4EBBC0837C}" name="جمع حقوق و مزایا مشمول مالیات(بدون احتساب ماده 84) " dataDxfId="15" totalsRowDxfId="14" dataCellStyle="Comma">
      <calculatedColumnFormula>MAX((AC3+Z3+Table1[[#This Row],[پایه سنوات ماهانه]]+S3+R3+Q3+O3+L3-AG3),0)</calculatedColumnFormula>
    </tableColumn>
    <tableColumn id="26" xr3:uid="{52A36614-2CD4-42A8-9789-29DFB43B37CC}" name="بيمه کارگر " dataDxfId="13" totalsRowDxfId="12" dataCellStyle="Comma"/>
    <tableColumn id="27" xr3:uid="{84EC9323-92C1-4EE8-A30E-C4FD4210EDA4}" name="بیمه کارفرما " dataDxfId="11" totalsRowDxfId="10" dataCellStyle="Comma"/>
    <tableColumn id="28" xr3:uid="{FFD69696-546C-4E4D-A1B4-19EA4B6FC4E8}" name="بیمه بیکاری " dataDxfId="9" totalsRowDxfId="8" dataCellStyle="Comma"/>
    <tableColumn id="29" xr3:uid="{C5130265-6055-4261-B7E6-6E84B3E0027C}" name="کل بیمه " dataDxfId="7" totalsRowDxfId="6" dataCellStyle="Comma"/>
    <tableColumn id="30" xr3:uid="{4BAED9B1-234D-45ED-BE3B-B34E20BB7570}" name="ماليات " dataDxfId="5" totalsRowDxfId="4" dataCellStyle="Comma">
      <calculatedColumnFormula>ROUND(IFERROR(IF(AF3&lt;=240000000,0,IF(AND(AF3&gt;240000000,AF3&lt;300000001),(AF3-240000000)*0.1,IF(AND(AF3&gt;=300000001,AF3&lt;380000001),(300000000-240000000)*0.1+(AF3-300000000)*0.15,IF(AND(AF3&gt;230000001,AF3&lt;340000001),(300000000-240000000)*0.1+(380000000-300000000)*0.15+(AF3-380000000)*0.2,(300000000-240000000)*0.1+(380000000-300000000)*0.15+(500000000-300000000)*0.2+(AF3-500000000)*0.3)))),0),0)</calculatedColumnFormula>
    </tableColumn>
    <tableColumn id="31" xr3:uid="{80F90019-F8CB-4B1A-95D8-EA9EA8FA6157}" name="جمع کسورات" dataDxfId="3" totalsRowDxfId="2" dataCellStyle="Comma"/>
    <tableColumn id="32" xr3:uid="{C01CE46C-11C4-4439-9C8C-310D5044F708}" name="خالص پرداختی" dataDxfId="1" totalsRowDxfId="0" dataCellStyle="Comma"/>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nokhbehesab.com/" TargetMode="External"/><Relationship Id="rId2" Type="http://schemas.openxmlformats.org/officeDocument/2006/relationships/hyperlink" Target="https://www.instagram.com/alinajimi.finance/" TargetMode="External"/><Relationship Id="rId1" Type="http://schemas.openxmlformats.org/officeDocument/2006/relationships/hyperlink" Target="http://www.mali-ban.ir/" TargetMode="External"/><Relationship Id="rId5" Type="http://schemas.openxmlformats.org/officeDocument/2006/relationships/table" Target="../tables/table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4378E-3316-4A2F-AC3C-B41618B01136}">
  <sheetPr>
    <tabColor rgb="FF92D050"/>
  </sheetPr>
  <dimension ref="A1:L26"/>
  <sheetViews>
    <sheetView rightToLeft="1" zoomScaleNormal="100" workbookViewId="0">
      <selection sqref="A1:L26"/>
    </sheetView>
  </sheetViews>
  <sheetFormatPr defaultRowHeight="14.4"/>
  <cols>
    <col min="2" max="2" width="102.88671875" customWidth="1"/>
  </cols>
  <sheetData>
    <row r="1" spans="1:12">
      <c r="A1" s="47" t="s">
        <v>139</v>
      </c>
      <c r="B1" s="48"/>
      <c r="C1" s="48"/>
      <c r="D1" s="48"/>
      <c r="E1" s="48"/>
      <c r="F1" s="48"/>
      <c r="G1" s="48"/>
      <c r="H1" s="48"/>
      <c r="I1" s="48"/>
      <c r="J1" s="48"/>
      <c r="K1" s="48"/>
      <c r="L1" s="48"/>
    </row>
    <row r="2" spans="1:12">
      <c r="A2" s="48"/>
      <c r="B2" s="48"/>
      <c r="C2" s="48"/>
      <c r="D2" s="48"/>
      <c r="E2" s="48"/>
      <c r="F2" s="48"/>
      <c r="G2" s="48"/>
      <c r="H2" s="48"/>
      <c r="I2" s="48"/>
      <c r="J2" s="48"/>
      <c r="K2" s="48"/>
      <c r="L2" s="48"/>
    </row>
    <row r="3" spans="1:12">
      <c r="A3" s="48"/>
      <c r="B3" s="48"/>
      <c r="C3" s="48"/>
      <c r="D3" s="48"/>
      <c r="E3" s="48"/>
      <c r="F3" s="48"/>
      <c r="G3" s="48"/>
      <c r="H3" s="48"/>
      <c r="I3" s="48"/>
      <c r="J3" s="48"/>
      <c r="K3" s="48"/>
      <c r="L3" s="48"/>
    </row>
    <row r="4" spans="1:12">
      <c r="A4" s="48"/>
      <c r="B4" s="48"/>
      <c r="C4" s="48"/>
      <c r="D4" s="48"/>
      <c r="E4" s="48"/>
      <c r="F4" s="48"/>
      <c r="G4" s="48"/>
      <c r="H4" s="48"/>
      <c r="I4" s="48"/>
      <c r="J4" s="48"/>
      <c r="K4" s="48"/>
      <c r="L4" s="48"/>
    </row>
    <row r="5" spans="1:12">
      <c r="A5" s="48"/>
      <c r="B5" s="48"/>
      <c r="C5" s="48"/>
      <c r="D5" s="48"/>
      <c r="E5" s="48"/>
      <c r="F5" s="48"/>
      <c r="G5" s="48"/>
      <c r="H5" s="48"/>
      <c r="I5" s="48"/>
      <c r="J5" s="48"/>
      <c r="K5" s="48"/>
      <c r="L5" s="48"/>
    </row>
    <row r="6" spans="1:12">
      <c r="A6" s="48"/>
      <c r="B6" s="48"/>
      <c r="C6" s="48"/>
      <c r="D6" s="48"/>
      <c r="E6" s="48"/>
      <c r="F6" s="48"/>
      <c r="G6" s="48"/>
      <c r="H6" s="48"/>
      <c r="I6" s="48"/>
      <c r="J6" s="48"/>
      <c r="K6" s="48"/>
      <c r="L6" s="48"/>
    </row>
    <row r="7" spans="1:12">
      <c r="A7" s="48"/>
      <c r="B7" s="48"/>
      <c r="C7" s="48"/>
      <c r="D7" s="48"/>
      <c r="E7" s="48"/>
      <c r="F7" s="48"/>
      <c r="G7" s="48"/>
      <c r="H7" s="48"/>
      <c r="I7" s="48"/>
      <c r="J7" s="48"/>
      <c r="K7" s="48"/>
      <c r="L7" s="48"/>
    </row>
    <row r="8" spans="1:12">
      <c r="A8" s="48"/>
      <c r="B8" s="48"/>
      <c r="C8" s="48"/>
      <c r="D8" s="48"/>
      <c r="E8" s="48"/>
      <c r="F8" s="48"/>
      <c r="G8" s="48"/>
      <c r="H8" s="48"/>
      <c r="I8" s="48"/>
      <c r="J8" s="48"/>
      <c r="K8" s="48"/>
      <c r="L8" s="48"/>
    </row>
    <row r="9" spans="1:12">
      <c r="A9" s="48"/>
      <c r="B9" s="48"/>
      <c r="C9" s="48"/>
      <c r="D9" s="48"/>
      <c r="E9" s="48"/>
      <c r="F9" s="48"/>
      <c r="G9" s="48"/>
      <c r="H9" s="48"/>
      <c r="I9" s="48"/>
      <c r="J9" s="48"/>
      <c r="K9" s="48"/>
      <c r="L9" s="48"/>
    </row>
    <row r="10" spans="1:12">
      <c r="A10" s="48"/>
      <c r="B10" s="48"/>
      <c r="C10" s="48"/>
      <c r="D10" s="48"/>
      <c r="E10" s="48"/>
      <c r="F10" s="48"/>
      <c r="G10" s="48"/>
      <c r="H10" s="48"/>
      <c r="I10" s="48"/>
      <c r="J10" s="48"/>
      <c r="K10" s="48"/>
      <c r="L10" s="48"/>
    </row>
    <row r="11" spans="1:12">
      <c r="A11" s="48"/>
      <c r="B11" s="48"/>
      <c r="C11" s="48"/>
      <c r="D11" s="48"/>
      <c r="E11" s="48"/>
      <c r="F11" s="48"/>
      <c r="G11" s="48"/>
      <c r="H11" s="48"/>
      <c r="I11" s="48"/>
      <c r="J11" s="48"/>
      <c r="K11" s="48"/>
      <c r="L11" s="48"/>
    </row>
    <row r="12" spans="1:12">
      <c r="A12" s="48"/>
      <c r="B12" s="48"/>
      <c r="C12" s="48"/>
      <c r="D12" s="48"/>
      <c r="E12" s="48"/>
      <c r="F12" s="48"/>
      <c r="G12" s="48"/>
      <c r="H12" s="48"/>
      <c r="I12" s="48"/>
      <c r="J12" s="48"/>
      <c r="K12" s="48"/>
      <c r="L12" s="48"/>
    </row>
    <row r="13" spans="1:12">
      <c r="A13" s="48"/>
      <c r="B13" s="48"/>
      <c r="C13" s="48"/>
      <c r="D13" s="48"/>
      <c r="E13" s="48"/>
      <c r="F13" s="48"/>
      <c r="G13" s="48"/>
      <c r="H13" s="48"/>
      <c r="I13" s="48"/>
      <c r="J13" s="48"/>
      <c r="K13" s="48"/>
      <c r="L13" s="48"/>
    </row>
    <row r="14" spans="1:12">
      <c r="A14" s="48"/>
      <c r="B14" s="48"/>
      <c r="C14" s="48"/>
      <c r="D14" s="48"/>
      <c r="E14" s="48"/>
      <c r="F14" s="48"/>
      <c r="G14" s="48"/>
      <c r="H14" s="48"/>
      <c r="I14" s="48"/>
      <c r="J14" s="48"/>
      <c r="K14" s="48"/>
      <c r="L14" s="48"/>
    </row>
    <row r="15" spans="1:12">
      <c r="A15" s="48"/>
      <c r="B15" s="48"/>
      <c r="C15" s="48"/>
      <c r="D15" s="48"/>
      <c r="E15" s="48"/>
      <c r="F15" s="48"/>
      <c r="G15" s="48"/>
      <c r="H15" s="48"/>
      <c r="I15" s="48"/>
      <c r="J15" s="48"/>
      <c r="K15" s="48"/>
      <c r="L15" s="48"/>
    </row>
    <row r="16" spans="1:12">
      <c r="A16" s="48"/>
      <c r="B16" s="48"/>
      <c r="C16" s="48"/>
      <c r="D16" s="48"/>
      <c r="E16" s="48"/>
      <c r="F16" s="48"/>
      <c r="G16" s="48"/>
      <c r="H16" s="48"/>
      <c r="I16" s="48"/>
      <c r="J16" s="48"/>
      <c r="K16" s="48"/>
      <c r="L16" s="48"/>
    </row>
    <row r="17" spans="1:12">
      <c r="A17" s="48"/>
      <c r="B17" s="48"/>
      <c r="C17" s="48"/>
      <c r="D17" s="48"/>
      <c r="E17" s="48"/>
      <c r="F17" s="48"/>
      <c r="G17" s="48"/>
      <c r="H17" s="48"/>
      <c r="I17" s="48"/>
      <c r="J17" s="48"/>
      <c r="K17" s="48"/>
      <c r="L17" s="48"/>
    </row>
    <row r="18" spans="1:12">
      <c r="A18" s="48"/>
      <c r="B18" s="48"/>
      <c r="C18" s="48"/>
      <c r="D18" s="48"/>
      <c r="E18" s="48"/>
      <c r="F18" s="48"/>
      <c r="G18" s="48"/>
      <c r="H18" s="48"/>
      <c r="I18" s="48"/>
      <c r="J18" s="48"/>
      <c r="K18" s="48"/>
      <c r="L18" s="48"/>
    </row>
    <row r="19" spans="1:12">
      <c r="A19" s="48"/>
      <c r="B19" s="48"/>
      <c r="C19" s="48"/>
      <c r="D19" s="48"/>
      <c r="E19" s="48"/>
      <c r="F19" s="48"/>
      <c r="G19" s="48"/>
      <c r="H19" s="48"/>
      <c r="I19" s="48"/>
      <c r="J19" s="48"/>
      <c r="K19" s="48"/>
      <c r="L19" s="48"/>
    </row>
    <row r="20" spans="1:12">
      <c r="A20" s="48"/>
      <c r="B20" s="48"/>
      <c r="C20" s="48"/>
      <c r="D20" s="48"/>
      <c r="E20" s="48"/>
      <c r="F20" s="48"/>
      <c r="G20" s="48"/>
      <c r="H20" s="48"/>
      <c r="I20" s="48"/>
      <c r="J20" s="48"/>
      <c r="K20" s="48"/>
      <c r="L20" s="48"/>
    </row>
    <row r="21" spans="1:12">
      <c r="A21" s="48"/>
      <c r="B21" s="48"/>
      <c r="C21" s="48"/>
      <c r="D21" s="48"/>
      <c r="E21" s="48"/>
      <c r="F21" s="48"/>
      <c r="G21" s="48"/>
      <c r="H21" s="48"/>
      <c r="I21" s="48"/>
      <c r="J21" s="48"/>
      <c r="K21" s="48"/>
      <c r="L21" s="48"/>
    </row>
    <row r="22" spans="1:12">
      <c r="A22" s="48"/>
      <c r="B22" s="48"/>
      <c r="C22" s="48"/>
      <c r="D22" s="48"/>
      <c r="E22" s="48"/>
      <c r="F22" s="48"/>
      <c r="G22" s="48"/>
      <c r="H22" s="48"/>
      <c r="I22" s="48"/>
      <c r="J22" s="48"/>
      <c r="K22" s="48"/>
      <c r="L22" s="48"/>
    </row>
    <row r="23" spans="1:12">
      <c r="A23" s="48"/>
      <c r="B23" s="48"/>
      <c r="C23" s="48"/>
      <c r="D23" s="48"/>
      <c r="E23" s="48"/>
      <c r="F23" s="48"/>
      <c r="G23" s="48"/>
      <c r="H23" s="48"/>
      <c r="I23" s="48"/>
      <c r="J23" s="48"/>
      <c r="K23" s="48"/>
      <c r="L23" s="48"/>
    </row>
    <row r="24" spans="1:12">
      <c r="A24" s="48"/>
      <c r="B24" s="48"/>
      <c r="C24" s="48"/>
      <c r="D24" s="48"/>
      <c r="E24" s="48"/>
      <c r="F24" s="48"/>
      <c r="G24" s="48"/>
      <c r="H24" s="48"/>
      <c r="I24" s="48"/>
      <c r="J24" s="48"/>
      <c r="K24" s="48"/>
      <c r="L24" s="48"/>
    </row>
    <row r="25" spans="1:12">
      <c r="A25" s="48"/>
      <c r="B25" s="48"/>
      <c r="C25" s="48"/>
      <c r="D25" s="48"/>
      <c r="E25" s="48"/>
      <c r="F25" s="48"/>
      <c r="G25" s="48"/>
      <c r="H25" s="48"/>
      <c r="I25" s="48"/>
      <c r="J25" s="48"/>
      <c r="K25" s="48"/>
      <c r="L25" s="48"/>
    </row>
    <row r="26" spans="1:12">
      <c r="A26" s="48"/>
      <c r="B26" s="48"/>
      <c r="C26" s="48"/>
      <c r="D26" s="48"/>
      <c r="E26" s="48"/>
      <c r="F26" s="48"/>
      <c r="G26" s="48"/>
      <c r="H26" s="48"/>
      <c r="I26" s="48"/>
      <c r="J26" s="48"/>
      <c r="K26" s="48"/>
      <c r="L26" s="48"/>
    </row>
  </sheetData>
  <mergeCells count="1">
    <mergeCell ref="A1:L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BE194"/>
  <sheetViews>
    <sheetView rightToLeft="1" zoomScaleNormal="100" zoomScaleSheetLayoutView="100" workbookViewId="0">
      <selection activeCell="F14" sqref="F14"/>
    </sheetView>
  </sheetViews>
  <sheetFormatPr defaultColWidth="10" defaultRowHeight="20.399999999999999"/>
  <cols>
    <col min="1" max="1" width="12.5546875" style="38" bestFit="1" customWidth="1"/>
    <col min="2" max="2" width="16.33203125" style="38" bestFit="1" customWidth="1"/>
    <col min="3" max="3" width="22.109375" style="38" bestFit="1" customWidth="1"/>
    <col min="4" max="4" width="20.33203125" style="38" bestFit="1" customWidth="1"/>
    <col min="5" max="5" width="22" style="38" bestFit="1" customWidth="1"/>
    <col min="6" max="6" width="23.33203125" style="38" bestFit="1" customWidth="1"/>
    <col min="7" max="7" width="44" style="23" bestFit="1" customWidth="1"/>
    <col min="8" max="8" width="27" style="23" bestFit="1" customWidth="1"/>
    <col min="9" max="9" width="18.109375" style="38" bestFit="1" customWidth="1"/>
    <col min="10" max="10" width="22.5546875" style="38" bestFit="1" customWidth="1"/>
    <col min="11" max="11" width="24.44140625" style="23" bestFit="1" customWidth="1"/>
    <col min="12" max="12" width="19.109375" style="38" bestFit="1" customWidth="1"/>
    <col min="13" max="13" width="23.109375" style="38" bestFit="1" customWidth="1"/>
    <col min="14" max="14" width="33.88671875" style="38" bestFit="1" customWidth="1"/>
    <col min="15" max="15" width="15.5546875" style="38" bestFit="1" customWidth="1"/>
    <col min="16" max="16" width="17.44140625" style="38" bestFit="1" customWidth="1"/>
    <col min="17" max="17" width="16.6640625" style="38" bestFit="1" customWidth="1"/>
    <col min="18" max="18" width="13.33203125" style="38" bestFit="1" customWidth="1"/>
    <col min="19" max="19" width="13.88671875" style="38" bestFit="1" customWidth="1"/>
    <col min="20" max="20" width="16.109375" style="38" bestFit="1" customWidth="1"/>
    <col min="21" max="21" width="48.5546875" style="38" bestFit="1" customWidth="1"/>
    <col min="22" max="22" width="15.6640625" style="38" bestFit="1" customWidth="1"/>
    <col min="23" max="23" width="19" style="38" bestFit="1" customWidth="1"/>
    <col min="24" max="24" width="15.44140625" style="38" bestFit="1" customWidth="1"/>
    <col min="25" max="25" width="23.5546875" style="38" bestFit="1" customWidth="1"/>
    <col min="26" max="26" width="16.109375" style="38" bestFit="1" customWidth="1"/>
    <col min="27" max="27" width="21.109375" style="38" bestFit="1" customWidth="1"/>
    <col min="28" max="28" width="18.44140625" style="38" bestFit="1" customWidth="1"/>
    <col min="29" max="29" width="13.109375" style="38" bestFit="1" customWidth="1"/>
    <col min="30" max="30" width="31.6640625" style="38" bestFit="1" customWidth="1"/>
    <col min="31" max="31" width="37.6640625" style="38" bestFit="1" customWidth="1"/>
    <col min="32" max="32" width="49.44140625" style="38" bestFit="1" customWidth="1"/>
    <col min="33" max="33" width="16.6640625" style="38" bestFit="1" customWidth="1"/>
    <col min="34" max="34" width="18.44140625" style="38" bestFit="1" customWidth="1"/>
    <col min="35" max="36" width="18" style="38" bestFit="1" customWidth="1"/>
    <col min="37" max="37" width="17.33203125" style="1" bestFit="1" customWidth="1"/>
    <col min="38" max="38" width="19.5546875" style="38" bestFit="1" customWidth="1"/>
    <col min="39" max="39" width="20.5546875" style="38" bestFit="1" customWidth="1"/>
    <col min="40" max="50" width="10" style="38"/>
    <col min="51" max="51" width="10" style="38" customWidth="1"/>
    <col min="52" max="52" width="14.33203125" style="38" bestFit="1" customWidth="1"/>
    <col min="53" max="53" width="7.44140625" style="38" bestFit="1" customWidth="1"/>
    <col min="54" max="54" width="10.44140625" style="38" bestFit="1" customWidth="1"/>
    <col min="55" max="55" width="14.33203125" style="38" bestFit="1" customWidth="1"/>
    <col min="56" max="56" width="7.44140625" style="38" bestFit="1" customWidth="1"/>
    <col min="57" max="57" width="13.6640625" style="38" bestFit="1" customWidth="1"/>
    <col min="58" max="58" width="10.5546875" style="38" bestFit="1" customWidth="1"/>
    <col min="59" max="59" width="9" style="38" bestFit="1" customWidth="1"/>
    <col min="60" max="16384" width="10" style="38"/>
  </cols>
  <sheetData>
    <row r="1" spans="1:53" ht="43.2">
      <c r="G1" s="52" t="s">
        <v>138</v>
      </c>
      <c r="H1" s="52"/>
      <c r="I1" s="52"/>
      <c r="J1" s="53" t="s">
        <v>86</v>
      </c>
      <c r="K1" s="54"/>
      <c r="L1" s="54"/>
      <c r="M1" s="54"/>
      <c r="N1" s="54"/>
      <c r="O1" s="55" t="s">
        <v>87</v>
      </c>
      <c r="P1" s="55"/>
      <c r="Q1" s="55"/>
      <c r="R1" s="55"/>
      <c r="S1" s="55"/>
      <c r="T1" s="55"/>
    </row>
    <row r="2" spans="1:53" s="23" customFormat="1" ht="40.799999999999997">
      <c r="A2" s="12" t="s">
        <v>0</v>
      </c>
      <c r="B2" s="2" t="s">
        <v>1</v>
      </c>
      <c r="C2" s="2" t="s">
        <v>2</v>
      </c>
      <c r="D2" s="2" t="s">
        <v>3</v>
      </c>
      <c r="E2" s="39" t="s">
        <v>84</v>
      </c>
      <c r="F2" s="40" t="s">
        <v>85</v>
      </c>
      <c r="G2" s="2" t="s">
        <v>83</v>
      </c>
      <c r="H2" s="39" t="s">
        <v>90</v>
      </c>
      <c r="I2" s="2" t="s">
        <v>88</v>
      </c>
      <c r="J2" s="39" t="s">
        <v>5</v>
      </c>
      <c r="K2" s="39" t="s">
        <v>6</v>
      </c>
      <c r="L2" s="2" t="s">
        <v>7</v>
      </c>
      <c r="M2" s="2" t="s">
        <v>8</v>
      </c>
      <c r="N2" s="41" t="s">
        <v>9</v>
      </c>
      <c r="O2" s="2" t="s">
        <v>10</v>
      </c>
      <c r="P2" s="39" t="s">
        <v>11</v>
      </c>
      <c r="Q2" s="2" t="s">
        <v>12</v>
      </c>
      <c r="R2" s="2" t="s">
        <v>13</v>
      </c>
      <c r="S2" s="2" t="s">
        <v>14</v>
      </c>
      <c r="T2" s="2" t="s">
        <v>15</v>
      </c>
      <c r="U2" s="42" t="s">
        <v>16</v>
      </c>
      <c r="V2" s="2" t="s">
        <v>17</v>
      </c>
      <c r="W2" s="2" t="s">
        <v>18</v>
      </c>
      <c r="X2" s="2" t="s">
        <v>19</v>
      </c>
      <c r="Y2" s="39" t="s">
        <v>20</v>
      </c>
      <c r="Z2" s="2" t="s">
        <v>21</v>
      </c>
      <c r="AA2" s="39" t="s">
        <v>22</v>
      </c>
      <c r="AB2" s="39" t="s">
        <v>23</v>
      </c>
      <c r="AC2" s="39" t="s">
        <v>24</v>
      </c>
      <c r="AD2" s="2" t="s">
        <v>25</v>
      </c>
      <c r="AE2" s="3" t="s">
        <v>26</v>
      </c>
      <c r="AF2" s="3" t="s">
        <v>27</v>
      </c>
      <c r="AG2" s="2" t="s">
        <v>28</v>
      </c>
      <c r="AH2" s="2" t="s">
        <v>29</v>
      </c>
      <c r="AI2" s="2" t="s">
        <v>30</v>
      </c>
      <c r="AJ2" s="2" t="s">
        <v>31</v>
      </c>
      <c r="AK2" s="2" t="s">
        <v>32</v>
      </c>
      <c r="AL2" s="2" t="s">
        <v>33</v>
      </c>
      <c r="AM2" s="4" t="s">
        <v>34</v>
      </c>
    </row>
    <row r="3" spans="1:53" s="24" customFormat="1" ht="21.6">
      <c r="A3" s="19">
        <v>1</v>
      </c>
      <c r="B3" s="13" t="s">
        <v>91</v>
      </c>
      <c r="C3" s="20"/>
      <c r="D3" s="20"/>
      <c r="E3" s="13">
        <v>2388728</v>
      </c>
      <c r="F3" s="13">
        <v>2</v>
      </c>
      <c r="G3" s="13">
        <f t="shared" ref="G3:G50" si="0">(IFERROR(VLOOKUP(F3,BD$164:BE$194,2,0),0))*1.32</f>
        <v>205128</v>
      </c>
      <c r="H3" s="13">
        <v>94000</v>
      </c>
      <c r="I3" s="13">
        <f>IF(Table1[[#This Row],[حقوق سال 1403]]=2388728,3463656,(Table1[[#This Row],[حقوق سال 1403]]*1.32+310535))</f>
        <v>3463656</v>
      </c>
      <c r="J3" s="13">
        <v>31</v>
      </c>
      <c r="K3" s="13">
        <v>31</v>
      </c>
      <c r="L3" s="13">
        <f>Table1[[#This Row],[حقوق روزانه سال 1404]]*Table1[[#This Row],[روزهای کارکرد فرد]]</f>
        <v>107373336</v>
      </c>
      <c r="M3" s="13">
        <f>(Table1[[#This Row],[پایه سنوات روزانه تا پایان 30 اسفند 1403
با احتساب افزایش حقوق 1404]]+Table1[[#This Row],[پایه سنوات سال 1404]])*Table1[[#This Row],[روزهای کارکرد فرد]]</f>
        <v>9272968</v>
      </c>
      <c r="N3" s="13" t="s">
        <v>35</v>
      </c>
      <c r="O3" s="13">
        <f>IF(N3="متاهل",(MIN(5000000,(5000000/30*K3))),0)</f>
        <v>5000000</v>
      </c>
      <c r="P3" s="13">
        <v>2</v>
      </c>
      <c r="Q3" s="13">
        <f>(((3463656*P3)*3)/Table1[[#This Row],[تعداد روزهای ماه]]*Table1[[#This Row],[روزهای کارکرد فرد]])</f>
        <v>20781936</v>
      </c>
      <c r="R3" s="13">
        <f>MIN(9000000,((9000000/30)*Table1[[#This Row],[روزهای کارکرد فرد]]))</f>
        <v>9000000</v>
      </c>
      <c r="S3" s="13">
        <f>MIN(22000000,((22000000/30)*Table1[[#This Row],[روزهای کارکرد فرد]]))</f>
        <v>22000000</v>
      </c>
      <c r="T3" s="13">
        <f>Table1[[#This Row],[خواربار]]+Table1[[#This Row],[مسکن]]+Table1[[#This Row],[حق تاهل ]]</f>
        <v>36000000</v>
      </c>
      <c r="U3" s="21">
        <v>50</v>
      </c>
      <c r="V3" s="13">
        <f t="shared" ref="V3:V50" si="1">MIN((((I3)*60)/366*U3),214985520)</f>
        <v>28390622.950819671</v>
      </c>
      <c r="W3" s="13">
        <f t="shared" ref="W3" si="2">IF(AND(U3&gt;0,V3&gt;120000000),(V3-120000000)*10%,0)</f>
        <v>0</v>
      </c>
      <c r="X3" s="13">
        <f>((Table1[[#This Row],[حقوق روزانه سال 1404]]*30)/366)*Table1[[#This Row],[تعداد روز کارکرد از ابتدای سال تا امروز (جهت محاسبه عیدی)]]</f>
        <v>14195311.475409836</v>
      </c>
      <c r="Y3" s="13">
        <v>10</v>
      </c>
      <c r="Z3" s="13">
        <f t="shared" ref="Z3" si="3">((I3/7.33)*1.4)*Y3</f>
        <v>6615441.2005457012</v>
      </c>
      <c r="AA3" s="13">
        <f>IF(Table1[[#This Row],[اضافه کار ]]&lt;10,Table1[[#This Row],[اضافه کار ]],10)</f>
        <v>10</v>
      </c>
      <c r="AB3" s="13">
        <v>800000000</v>
      </c>
      <c r="AC3" s="13">
        <v>0</v>
      </c>
      <c r="AD3"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159261755.2005457</v>
      </c>
      <c r="AE3" s="13">
        <f>L3+Q3+R3+AB3+AC3+Z3+S3+O3+Table1[[#This Row],[پایه سنوات ماهانه]]+Table1[[#This Row],[عيدي]]+Table1[[#This Row],[سنوات]]</f>
        <v>1022629615.6267751</v>
      </c>
      <c r="AF3" s="13">
        <f>MAX((AC3+Z3+Table1[[#This Row],[پایه سنوات ماهانه]]+S3+R3+Q3+O3+L3-AG3),0)</f>
        <v>168895359.2005457</v>
      </c>
      <c r="AG3" s="13">
        <f t="shared" ref="AG3" si="4">ROUNDDOWN(AD3*0.07,0)</f>
        <v>11148322</v>
      </c>
      <c r="AH3" s="13">
        <f t="shared" ref="AH3" si="5">ROUNDUP(AD3*0.2,0)</f>
        <v>31852352</v>
      </c>
      <c r="AI3" s="13">
        <f t="shared" ref="AI3" si="6">ROUNDUP(AD3*0.03,0)</f>
        <v>4777853</v>
      </c>
      <c r="AJ3" s="13">
        <f t="shared" ref="AJ3" si="7">AG3+AH3+AI3</f>
        <v>47778527</v>
      </c>
      <c r="AK3" s="13">
        <f>ROUND(IFERROR(IF(AF3&lt;=240000000,0,IF(AND(AF3&gt;240000000,AF3&lt;300000001),(AF3-240000000)*0.1,IF(AND(AF3&gt;=300000001,AF3&lt;380000001),(300000000-240000000)*0.1+(AF3-300000000)*0.15,IF(AND(AF3&gt;230000001,AF3&lt;340000001),(300000000-240000000)*0.1+(380000000-300000000)*0.15+(AF3-380000000)*0.2,(300000000-240000000)*0.1+(380000000-300000000)*0.15+(500000000-300000000)*0.2+(AF3-500000000)*0.3)))),0),0)</f>
        <v>0</v>
      </c>
      <c r="AL3" s="13">
        <f>AK3+AG3</f>
        <v>11148322</v>
      </c>
      <c r="AM3" s="22">
        <f>Table1[[#This Row],[حقوق و مزایای مشمول و غیر مشمول بیمه]]-Table1[[#This Row],[جمع کسورات]]</f>
        <v>1011481293.6267751</v>
      </c>
    </row>
    <row r="4" spans="1:53" s="24" customFormat="1" ht="21.6">
      <c r="A4" s="19">
        <v>2</v>
      </c>
      <c r="B4" s="13" t="s">
        <v>92</v>
      </c>
      <c r="C4" s="20"/>
      <c r="D4" s="20"/>
      <c r="E4" s="13">
        <v>2388728</v>
      </c>
      <c r="F4" s="13">
        <v>0</v>
      </c>
      <c r="G4" s="13">
        <f t="shared" si="0"/>
        <v>0</v>
      </c>
      <c r="H4" s="13"/>
      <c r="I4" s="13">
        <f>IF(Table1[[#This Row],[حقوق سال 1403]]=2388728,3463656,(Table1[[#This Row],[حقوق سال 1403]]*1.32+310535))</f>
        <v>3463656</v>
      </c>
      <c r="J4" s="13">
        <v>31</v>
      </c>
      <c r="K4" s="13">
        <v>31</v>
      </c>
      <c r="L4" s="13">
        <f>Table1[[#This Row],[حقوق روزانه سال 1404]]*Table1[[#This Row],[روزهای کارکرد فرد]]</f>
        <v>107373336</v>
      </c>
      <c r="M4" s="13">
        <f>(Table1[[#This Row],[پایه سنوات روزانه تا پایان 30 اسفند 1403
با احتساب افزایش حقوق 1404]]+Table1[[#This Row],[پایه سنوات سال 1404]])*Table1[[#This Row],[روزهای کارکرد فرد]]</f>
        <v>0</v>
      </c>
      <c r="N4" s="13" t="s">
        <v>35</v>
      </c>
      <c r="O4" s="13">
        <f t="shared" ref="O4:O49" si="8">IF(N4="متاهل",(MIN(5000000,(5000000/30*K4))),0)</f>
        <v>5000000</v>
      </c>
      <c r="P4" s="13">
        <v>3</v>
      </c>
      <c r="Q4" s="13">
        <f>(((3463656*P4)*3)/Table1[[#This Row],[تعداد روزهای ماه]]*Table1[[#This Row],[روزهای کارکرد فرد]])</f>
        <v>31172904</v>
      </c>
      <c r="R4" s="13">
        <f>MIN(9000000,((9000000/30)*Table1[[#This Row],[روزهای کارکرد فرد]]))</f>
        <v>9000000</v>
      </c>
      <c r="S4" s="13">
        <f>MIN(22000000,((22000000/30)*Table1[[#This Row],[روزهای کارکرد فرد]]))</f>
        <v>22000000</v>
      </c>
      <c r="T4" s="13">
        <f>Table1[[#This Row],[خواربار]]+Table1[[#This Row],[مسکن]]+Table1[[#This Row],[حق تاهل ]]</f>
        <v>36000000</v>
      </c>
      <c r="U4" s="21"/>
      <c r="V4" s="13">
        <f t="shared" ref="V4:V49" si="9">MIN((((I4)*60)/366*U4),214985520)</f>
        <v>0</v>
      </c>
      <c r="W4" s="13">
        <f t="shared" ref="W4:W49" si="10">IF(AND(U4&gt;0,V4&gt;120000000),(V4-120000000)*10%,0)</f>
        <v>0</v>
      </c>
      <c r="X4" s="13">
        <f>((Table1[[#This Row],[حقوق روزانه سال 1404]]*30)/366)*Table1[[#This Row],[تعداد روز کارکرد از ابتدای سال تا امروز (جهت محاسبه عیدی)]]</f>
        <v>0</v>
      </c>
      <c r="Y4" s="13"/>
      <c r="Z4" s="13">
        <f t="shared" ref="Z4:Z49" si="11">((I4/7.33)*1.4)*Y4</f>
        <v>0</v>
      </c>
      <c r="AA4" s="13">
        <f>IF(Table1[[#This Row],[اضافه کار ]]&lt;10,Table1[[#This Row],[اضافه کار ]],10)</f>
        <v>0</v>
      </c>
      <c r="AB4" s="13"/>
      <c r="AC4" s="13">
        <v>0</v>
      </c>
      <c r="AD4"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143373336</v>
      </c>
      <c r="AE4" s="13">
        <f>L4+Q4+R4+AB4+AC4+Z4+S4+O4+Table1[[#This Row],[پایه سنوات ماهانه]]+Table1[[#This Row],[عيدي]]+Table1[[#This Row],[سنوات]]</f>
        <v>174546240</v>
      </c>
      <c r="AF4" s="13">
        <f>MAX((AC4+Z4+Table1[[#This Row],[پایه سنوات ماهانه]]+S4+R4+Q4+O4+L4-AG4),0)</f>
        <v>164510107</v>
      </c>
      <c r="AG4" s="13">
        <f t="shared" ref="AG4:AG49" si="12">ROUNDDOWN(AD4*0.07,0)</f>
        <v>10036133</v>
      </c>
      <c r="AH4" s="13">
        <f t="shared" ref="AH4:AH49" si="13">ROUNDUP(AD4*0.2,0)</f>
        <v>28674668</v>
      </c>
      <c r="AI4" s="13">
        <f t="shared" ref="AI4:AI49" si="14">ROUNDUP(AD4*0.03,0)</f>
        <v>4301201</v>
      </c>
      <c r="AJ4" s="13">
        <f t="shared" ref="AJ4:AJ49" si="15">AG4+AH4+AI4</f>
        <v>43012002</v>
      </c>
      <c r="AK4" s="13">
        <f t="shared" ref="AK4:AK50" si="16">ROUND(IFERROR(IF(AF4&lt;=240000000,0,IF(AND(AF4&gt;240000000,AF4&lt;300000001),(AF4-240000000)*0.1,IF(AND(AF4&gt;=300000001,AF4&lt;380000001),(300000000-240000000)*0.1+(AF4-300000000)*0.15,IF(AND(AF4&gt;230000001,AF4&lt;340000001),(300000000-240000000)*0.1+(380000000-300000000)*0.15+(AF4-380000000)*0.2,(300000000-240000000)*0.1+(380000000-300000000)*0.15+(500000000-300000000)*0.2+(AF4-500000000)*0.3)))),0),0)</f>
        <v>0</v>
      </c>
      <c r="AL4" s="13">
        <f t="shared" ref="AL4:AL49" si="17">AK4+AG4</f>
        <v>10036133</v>
      </c>
      <c r="AM4" s="22">
        <f>Table1[[#This Row],[حقوق و مزایای مشمول و غیر مشمول بیمه]]-Table1[[#This Row],[جمع کسورات]]</f>
        <v>164510107</v>
      </c>
    </row>
    <row r="5" spans="1:53" s="24" customFormat="1" ht="21.6">
      <c r="A5" s="19">
        <v>3</v>
      </c>
      <c r="B5" s="13" t="s">
        <v>93</v>
      </c>
      <c r="C5" s="20"/>
      <c r="D5" s="20"/>
      <c r="E5" s="13">
        <v>3000000</v>
      </c>
      <c r="F5" s="13">
        <v>0</v>
      </c>
      <c r="G5" s="13">
        <f t="shared" si="0"/>
        <v>0</v>
      </c>
      <c r="H5" s="13"/>
      <c r="I5" s="13">
        <f>IF(Table1[[#This Row],[حقوق سال 1403]]=2388728,3463656,(Table1[[#This Row],[حقوق سال 1403]]*1.32+310535))</f>
        <v>4270535</v>
      </c>
      <c r="J5" s="13">
        <v>31</v>
      </c>
      <c r="K5" s="13">
        <v>31</v>
      </c>
      <c r="L5" s="13">
        <f>Table1[[#This Row],[حقوق روزانه سال 1404]]*Table1[[#This Row],[روزهای کارکرد فرد]]</f>
        <v>132386585</v>
      </c>
      <c r="M5" s="13">
        <f>(Table1[[#This Row],[پایه سنوات روزانه تا پایان 30 اسفند 1403
با احتساب افزایش حقوق 1404]]+Table1[[#This Row],[پایه سنوات سال 1404]])*Table1[[#This Row],[روزهای کارکرد فرد]]</f>
        <v>0</v>
      </c>
      <c r="N5" s="13" t="s">
        <v>35</v>
      </c>
      <c r="O5" s="13">
        <f t="shared" si="8"/>
        <v>5000000</v>
      </c>
      <c r="P5" s="13">
        <v>4</v>
      </c>
      <c r="Q5" s="13">
        <f>(((3463656*P5)*3)/Table1[[#This Row],[تعداد روزهای ماه]]*Table1[[#This Row],[روزهای کارکرد فرد]])</f>
        <v>41563872</v>
      </c>
      <c r="R5" s="13">
        <f>MIN(9000000,((9000000/30)*Table1[[#This Row],[روزهای کارکرد فرد]]))</f>
        <v>9000000</v>
      </c>
      <c r="S5" s="13">
        <f>MIN(22000000,((22000000/30)*Table1[[#This Row],[روزهای کارکرد فرد]]))</f>
        <v>22000000</v>
      </c>
      <c r="T5" s="13">
        <f>Table1[[#This Row],[خواربار]]+Table1[[#This Row],[مسکن]]+Table1[[#This Row],[حق تاهل ]]</f>
        <v>36000000</v>
      </c>
      <c r="U5" s="21"/>
      <c r="V5" s="13">
        <f t="shared" si="9"/>
        <v>0</v>
      </c>
      <c r="W5" s="13">
        <f t="shared" si="10"/>
        <v>0</v>
      </c>
      <c r="X5" s="13">
        <f>((Table1[[#This Row],[حقوق روزانه سال 1404]]*30)/366)*Table1[[#This Row],[تعداد روز کارکرد از ابتدای سال تا امروز (جهت محاسبه عیدی)]]</f>
        <v>0</v>
      </c>
      <c r="Y5" s="13"/>
      <c r="Z5" s="13">
        <f t="shared" si="11"/>
        <v>0</v>
      </c>
      <c r="AA5" s="13">
        <f>IF(Table1[[#This Row],[اضافه کار ]]&lt;10,Table1[[#This Row],[اضافه کار ]],10)</f>
        <v>0</v>
      </c>
      <c r="AB5" s="13">
        <v>0</v>
      </c>
      <c r="AC5" s="13">
        <v>0</v>
      </c>
      <c r="AD5"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5" s="13">
        <f>L5+Q5+R5+AB5+AC5+Z5+S5+O5+Table1[[#This Row],[پایه سنوات ماهانه]]+Table1[[#This Row],[عيدي]]+Table1[[#This Row],[سنوات]]</f>
        <v>209950457</v>
      </c>
      <c r="AF5" s="13">
        <f>MAX((AC5+Z5+Table1[[#This Row],[پایه سنوات ماهانه]]+S5+R5+Q5+O5+L5-AG5),0)</f>
        <v>198163397</v>
      </c>
      <c r="AG5" s="13">
        <f t="shared" si="12"/>
        <v>11787060</v>
      </c>
      <c r="AH5" s="13">
        <f t="shared" si="13"/>
        <v>33677317</v>
      </c>
      <c r="AI5" s="13">
        <f t="shared" si="14"/>
        <v>5051598</v>
      </c>
      <c r="AJ5" s="13">
        <f t="shared" si="15"/>
        <v>50515975</v>
      </c>
      <c r="AK5" s="13">
        <f t="shared" si="16"/>
        <v>0</v>
      </c>
      <c r="AL5" s="13">
        <f t="shared" si="17"/>
        <v>11787060</v>
      </c>
      <c r="AM5" s="22">
        <f>Table1[[#This Row],[حقوق و مزایای مشمول و غیر مشمول بیمه]]-Table1[[#This Row],[جمع کسورات]]</f>
        <v>198163397</v>
      </c>
    </row>
    <row r="6" spans="1:53" s="24" customFormat="1" ht="21.6">
      <c r="A6" s="19">
        <v>4</v>
      </c>
      <c r="B6" s="13" t="s">
        <v>94</v>
      </c>
      <c r="C6" s="20"/>
      <c r="D6" s="20"/>
      <c r="E6" s="13">
        <v>3000000</v>
      </c>
      <c r="F6" s="13">
        <v>0</v>
      </c>
      <c r="G6" s="13">
        <f t="shared" si="0"/>
        <v>0</v>
      </c>
      <c r="H6" s="13"/>
      <c r="I6" s="13">
        <f>IF(Table1[[#This Row],[حقوق سال 1403]]=2388728,3463656,(Table1[[#This Row],[حقوق سال 1403]]*1.32+310535))</f>
        <v>4270535</v>
      </c>
      <c r="J6" s="13">
        <v>31</v>
      </c>
      <c r="K6" s="13">
        <v>31</v>
      </c>
      <c r="L6" s="13">
        <f>Table1[[#This Row],[حقوق روزانه سال 1404]]*Table1[[#This Row],[روزهای کارکرد فرد]]</f>
        <v>132386585</v>
      </c>
      <c r="M6" s="13">
        <f>(Table1[[#This Row],[پایه سنوات روزانه تا پایان 30 اسفند 1403
با احتساب افزایش حقوق 1404]]+Table1[[#This Row],[پایه سنوات سال 1404]])*Table1[[#This Row],[روزهای کارکرد فرد]]</f>
        <v>0</v>
      </c>
      <c r="N6" s="13" t="s">
        <v>35</v>
      </c>
      <c r="O6" s="13">
        <f t="shared" si="8"/>
        <v>5000000</v>
      </c>
      <c r="P6" s="13"/>
      <c r="Q6" s="13">
        <f>(((3463656*P6)*3)/Table1[[#This Row],[تعداد روزهای ماه]]*Table1[[#This Row],[روزهای کارکرد فرد]])</f>
        <v>0</v>
      </c>
      <c r="R6" s="13">
        <f>MIN(9000000,((9000000/30)*Table1[[#This Row],[روزهای کارکرد فرد]]))</f>
        <v>9000000</v>
      </c>
      <c r="S6" s="13">
        <f>MIN(22000000,((22000000/30)*Table1[[#This Row],[روزهای کارکرد فرد]]))</f>
        <v>22000000</v>
      </c>
      <c r="T6" s="13">
        <f>Table1[[#This Row],[خواربار]]+Table1[[#This Row],[مسکن]]+Table1[[#This Row],[حق تاهل ]]</f>
        <v>36000000</v>
      </c>
      <c r="U6" s="21"/>
      <c r="V6" s="13">
        <f t="shared" si="9"/>
        <v>0</v>
      </c>
      <c r="W6" s="13">
        <f t="shared" si="10"/>
        <v>0</v>
      </c>
      <c r="X6" s="13">
        <f>((Table1[[#This Row],[حقوق روزانه سال 1404]]*30)/366)*Table1[[#This Row],[تعداد روز کارکرد از ابتدای سال تا امروز (جهت محاسبه عیدی)]]</f>
        <v>0</v>
      </c>
      <c r="Y6" s="13"/>
      <c r="Z6" s="13">
        <f t="shared" si="11"/>
        <v>0</v>
      </c>
      <c r="AA6" s="13"/>
      <c r="AB6" s="13">
        <f>IF(Table1[[#This Row],[حق مسئولیست]]&gt;10,10,Table1[[#This Row],[حق مسئولیست]])</f>
        <v>0</v>
      </c>
      <c r="AC6" s="13">
        <v>0</v>
      </c>
      <c r="AD6"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6" s="13">
        <f>L6+Q6+R6+AB6+AC6+Z6+S6+O6+Table1[[#This Row],[پایه سنوات ماهانه]]+Table1[[#This Row],[عيدي]]+Table1[[#This Row],[سنوات]]</f>
        <v>168386585</v>
      </c>
      <c r="AF6" s="13">
        <f>MAX((AC6+Z6+Table1[[#This Row],[پایه سنوات ماهانه]]+S6+R6+Q6+O6+L6-AG6),0)</f>
        <v>156599525</v>
      </c>
      <c r="AG6" s="13">
        <f t="shared" si="12"/>
        <v>11787060</v>
      </c>
      <c r="AH6" s="13">
        <f t="shared" si="13"/>
        <v>33677317</v>
      </c>
      <c r="AI6" s="13">
        <f t="shared" si="14"/>
        <v>5051598</v>
      </c>
      <c r="AJ6" s="13">
        <f t="shared" si="15"/>
        <v>50515975</v>
      </c>
      <c r="AK6" s="13">
        <f t="shared" si="16"/>
        <v>0</v>
      </c>
      <c r="AL6" s="13">
        <f t="shared" si="17"/>
        <v>11787060</v>
      </c>
      <c r="AM6" s="22">
        <f>Table1[[#This Row],[حقوق و مزایای مشمول و غیر مشمول بیمه]]-Table1[[#This Row],[جمع کسورات]]</f>
        <v>156599525</v>
      </c>
    </row>
    <row r="7" spans="1:53" s="24" customFormat="1" ht="21.6">
      <c r="A7" s="19">
        <v>5</v>
      </c>
      <c r="B7" s="13" t="s">
        <v>95</v>
      </c>
      <c r="C7" s="20"/>
      <c r="D7" s="20"/>
      <c r="E7" s="13">
        <v>3000000</v>
      </c>
      <c r="F7" s="13">
        <v>0</v>
      </c>
      <c r="G7" s="13">
        <f t="shared" si="0"/>
        <v>0</v>
      </c>
      <c r="H7" s="13"/>
      <c r="I7" s="13">
        <f>IF(Table1[[#This Row],[حقوق سال 1403]]=2388728,3463656,(Table1[[#This Row],[حقوق سال 1403]]*1.32+310535))</f>
        <v>4270535</v>
      </c>
      <c r="J7" s="13">
        <v>31</v>
      </c>
      <c r="K7" s="13">
        <v>31</v>
      </c>
      <c r="L7" s="13">
        <f>Table1[[#This Row],[حقوق روزانه سال 1404]]*Table1[[#This Row],[روزهای کارکرد فرد]]</f>
        <v>132386585</v>
      </c>
      <c r="M7" s="13">
        <f>(Table1[[#This Row],[پایه سنوات روزانه تا پایان 30 اسفند 1403
با احتساب افزایش حقوق 1404]]+Table1[[#This Row],[پایه سنوات سال 1404]])*Table1[[#This Row],[روزهای کارکرد فرد]]</f>
        <v>0</v>
      </c>
      <c r="N7" s="13" t="s">
        <v>35</v>
      </c>
      <c r="O7" s="13">
        <f t="shared" si="8"/>
        <v>5000000</v>
      </c>
      <c r="P7" s="13"/>
      <c r="Q7" s="13">
        <f>(((3463656*P7)*3)/Table1[[#This Row],[تعداد روزهای ماه]]*Table1[[#This Row],[روزهای کارکرد فرد]])</f>
        <v>0</v>
      </c>
      <c r="R7" s="13">
        <f>MIN(9000000,((9000000/30)*Table1[[#This Row],[روزهای کارکرد فرد]]))</f>
        <v>9000000</v>
      </c>
      <c r="S7" s="13">
        <f>MIN(22000000,((22000000/30)*Table1[[#This Row],[روزهای کارکرد فرد]]))</f>
        <v>22000000</v>
      </c>
      <c r="T7" s="13">
        <f>Table1[[#This Row],[خواربار]]+Table1[[#This Row],[مسکن]]+Table1[[#This Row],[حق تاهل ]]</f>
        <v>36000000</v>
      </c>
      <c r="U7" s="21"/>
      <c r="V7" s="13">
        <f t="shared" si="9"/>
        <v>0</v>
      </c>
      <c r="W7" s="13">
        <f t="shared" si="10"/>
        <v>0</v>
      </c>
      <c r="X7" s="13">
        <f>((Table1[[#This Row],[حقوق روزانه سال 1404]]*30)/366)*Table1[[#This Row],[تعداد روز کارکرد از ابتدای سال تا امروز (جهت محاسبه عیدی)]]</f>
        <v>0</v>
      </c>
      <c r="Y7" s="13"/>
      <c r="Z7" s="13"/>
      <c r="AA7" s="13"/>
      <c r="AB7" s="13">
        <v>0</v>
      </c>
      <c r="AC7" s="13">
        <v>0</v>
      </c>
      <c r="AD7"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7" s="13">
        <f>L7+Q7+R7+AB7+AC7+Z7+S7+O7+Table1[[#This Row],[پایه سنوات ماهانه]]+Table1[[#This Row],[عيدي]]+Table1[[#This Row],[سنوات]]</f>
        <v>168386585</v>
      </c>
      <c r="AF7" s="13">
        <f>MAX((AC7+Z7+Table1[[#This Row],[پایه سنوات ماهانه]]+S7+R7+Q7+O7+L7-AG7),0)</f>
        <v>156599525</v>
      </c>
      <c r="AG7" s="13">
        <f t="shared" si="12"/>
        <v>11787060</v>
      </c>
      <c r="AH7" s="13">
        <f t="shared" si="13"/>
        <v>33677317</v>
      </c>
      <c r="AI7" s="13">
        <f t="shared" si="14"/>
        <v>5051598</v>
      </c>
      <c r="AJ7" s="13">
        <f t="shared" si="15"/>
        <v>50515975</v>
      </c>
      <c r="AK7" s="13">
        <f t="shared" si="16"/>
        <v>0</v>
      </c>
      <c r="AL7" s="13">
        <f t="shared" si="17"/>
        <v>11787060</v>
      </c>
      <c r="AM7" s="22">
        <f>Table1[[#This Row],[حقوق و مزایای مشمول و غیر مشمول بیمه]]-Table1[[#This Row],[جمع کسورات]]</f>
        <v>156599525</v>
      </c>
    </row>
    <row r="8" spans="1:53" s="24" customFormat="1" ht="21.6">
      <c r="A8" s="19">
        <v>6</v>
      </c>
      <c r="B8" s="13" t="s">
        <v>96</v>
      </c>
      <c r="C8" s="20"/>
      <c r="D8" s="20"/>
      <c r="E8" s="13">
        <v>3000000</v>
      </c>
      <c r="F8" s="13">
        <v>0</v>
      </c>
      <c r="G8" s="13">
        <f t="shared" si="0"/>
        <v>0</v>
      </c>
      <c r="H8" s="13"/>
      <c r="I8" s="13">
        <f>IF(Table1[[#This Row],[حقوق سال 1403]]=2388728,3463656,(Table1[[#This Row],[حقوق سال 1403]]*1.32+310535))</f>
        <v>4270535</v>
      </c>
      <c r="J8" s="13">
        <v>31</v>
      </c>
      <c r="K8" s="13">
        <v>31</v>
      </c>
      <c r="L8" s="13">
        <f>Table1[[#This Row],[حقوق روزانه سال 1404]]*Table1[[#This Row],[روزهای کارکرد فرد]]</f>
        <v>132386585</v>
      </c>
      <c r="M8" s="13">
        <f>(Table1[[#This Row],[پایه سنوات روزانه تا پایان 30 اسفند 1403
با احتساب افزایش حقوق 1404]]+Table1[[#This Row],[پایه سنوات سال 1404]])*Table1[[#This Row],[روزهای کارکرد فرد]]</f>
        <v>0</v>
      </c>
      <c r="N8" s="13" t="s">
        <v>35</v>
      </c>
      <c r="O8" s="13">
        <f t="shared" si="8"/>
        <v>5000000</v>
      </c>
      <c r="P8" s="13"/>
      <c r="Q8" s="13">
        <f>(((3463656*P8)*3)/Table1[[#This Row],[تعداد روزهای ماه]]*Table1[[#This Row],[روزهای کارکرد فرد]])</f>
        <v>0</v>
      </c>
      <c r="R8" s="13">
        <f>MIN(9000000,((9000000/30)*Table1[[#This Row],[روزهای کارکرد فرد]]))</f>
        <v>9000000</v>
      </c>
      <c r="S8" s="13">
        <f>MIN(22000000,((22000000/30)*Table1[[#This Row],[روزهای کارکرد فرد]]))</f>
        <v>22000000</v>
      </c>
      <c r="T8" s="13">
        <f>Table1[[#This Row],[خواربار]]+Table1[[#This Row],[مسکن]]+Table1[[#This Row],[حق تاهل ]]</f>
        <v>36000000</v>
      </c>
      <c r="U8" s="21"/>
      <c r="V8" s="13">
        <f t="shared" si="9"/>
        <v>0</v>
      </c>
      <c r="W8" s="13">
        <f t="shared" si="10"/>
        <v>0</v>
      </c>
      <c r="X8" s="13">
        <f>((Table1[[#This Row],[حقوق روزانه سال 1404]]*30)/366)*Table1[[#This Row],[تعداد روز کارکرد از ابتدای سال تا امروز (جهت محاسبه عیدی)]]</f>
        <v>0</v>
      </c>
      <c r="Y8" s="13"/>
      <c r="Z8" s="13">
        <f t="shared" si="11"/>
        <v>0</v>
      </c>
      <c r="AA8" s="13">
        <f>IF(Table1[[#This Row],[اضافه کار ]]&lt;10,Table1[[#This Row],[اضافه کار ]],10)</f>
        <v>0</v>
      </c>
      <c r="AB8" s="13">
        <v>0</v>
      </c>
      <c r="AC8" s="13">
        <v>0</v>
      </c>
      <c r="AD8"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8" s="13">
        <f>L8+Q8+R8+AB8+AC8+Z8+S8+O8+Table1[[#This Row],[پایه سنوات ماهانه]]+Table1[[#This Row],[عيدي]]+Table1[[#This Row],[سنوات]]</f>
        <v>168386585</v>
      </c>
      <c r="AF8" s="13">
        <f>MAX((AC8+Z8+Table1[[#This Row],[پایه سنوات ماهانه]]+S8+R8+Q8+O8+L8-AG8),0)</f>
        <v>156599525</v>
      </c>
      <c r="AG8" s="13">
        <f t="shared" si="12"/>
        <v>11787060</v>
      </c>
      <c r="AH8" s="13">
        <f t="shared" si="13"/>
        <v>33677317</v>
      </c>
      <c r="AI8" s="13">
        <f t="shared" si="14"/>
        <v>5051598</v>
      </c>
      <c r="AJ8" s="13">
        <f t="shared" si="15"/>
        <v>50515975</v>
      </c>
      <c r="AK8" s="13">
        <f t="shared" si="16"/>
        <v>0</v>
      </c>
      <c r="AL8" s="13">
        <f t="shared" si="17"/>
        <v>11787060</v>
      </c>
      <c r="AM8" s="22">
        <f>Table1[[#This Row],[حقوق و مزایای مشمول و غیر مشمول بیمه]]-Table1[[#This Row],[جمع کسورات]]</f>
        <v>156599525</v>
      </c>
    </row>
    <row r="9" spans="1:53" s="24" customFormat="1" ht="21.6">
      <c r="A9" s="19">
        <v>7</v>
      </c>
      <c r="B9" s="13" t="s">
        <v>97</v>
      </c>
      <c r="C9" s="20"/>
      <c r="D9" s="20"/>
      <c r="E9" s="13">
        <v>3000000</v>
      </c>
      <c r="F9" s="13">
        <v>0</v>
      </c>
      <c r="G9" s="13">
        <f t="shared" si="0"/>
        <v>0</v>
      </c>
      <c r="H9" s="13"/>
      <c r="I9" s="13">
        <f>IF(Table1[[#This Row],[حقوق سال 1403]]=2388728,3463656,(Table1[[#This Row],[حقوق سال 1403]]*1.32+310535))</f>
        <v>4270535</v>
      </c>
      <c r="J9" s="13">
        <v>31</v>
      </c>
      <c r="K9" s="13">
        <v>31</v>
      </c>
      <c r="L9" s="13">
        <f>Table1[[#This Row],[حقوق روزانه سال 1404]]*Table1[[#This Row],[روزهای کارکرد فرد]]</f>
        <v>132386585</v>
      </c>
      <c r="M9" s="13">
        <f>(Table1[[#This Row],[پایه سنوات روزانه تا پایان 30 اسفند 1403
با احتساب افزایش حقوق 1404]]+Table1[[#This Row],[پایه سنوات سال 1404]])*Table1[[#This Row],[روزهای کارکرد فرد]]</f>
        <v>0</v>
      </c>
      <c r="N9" s="13" t="s">
        <v>35</v>
      </c>
      <c r="O9" s="13">
        <f t="shared" si="8"/>
        <v>5000000</v>
      </c>
      <c r="P9" s="13"/>
      <c r="Q9" s="13">
        <f>(((3463656*P9)*3)/Table1[[#This Row],[تعداد روزهای ماه]]*Table1[[#This Row],[روزهای کارکرد فرد]])</f>
        <v>0</v>
      </c>
      <c r="R9" s="13">
        <f>MIN(9000000,((9000000/30)*Table1[[#This Row],[روزهای کارکرد فرد]]))</f>
        <v>9000000</v>
      </c>
      <c r="S9" s="13">
        <f>MIN(22000000,((22000000/30)*Table1[[#This Row],[روزهای کارکرد فرد]]))</f>
        <v>22000000</v>
      </c>
      <c r="T9" s="13">
        <f>Table1[[#This Row],[خواربار]]+Table1[[#This Row],[مسکن]]+Table1[[#This Row],[حق تاهل ]]</f>
        <v>36000000</v>
      </c>
      <c r="U9" s="21"/>
      <c r="V9" s="13">
        <f t="shared" si="9"/>
        <v>0</v>
      </c>
      <c r="W9" s="13">
        <f t="shared" si="10"/>
        <v>0</v>
      </c>
      <c r="X9" s="13">
        <f>((Table1[[#This Row],[حقوق روزانه سال 1404]]*30)/366)*Table1[[#This Row],[تعداد روز کارکرد از ابتدای سال تا امروز (جهت محاسبه عیدی)]]</f>
        <v>0</v>
      </c>
      <c r="Y9" s="13"/>
      <c r="Z9" s="13">
        <f t="shared" si="11"/>
        <v>0</v>
      </c>
      <c r="AA9" s="13">
        <f>IF(Table1[[#This Row],[اضافه کار ]]&lt;10,Table1[[#This Row],[اضافه کار ]],10)</f>
        <v>0</v>
      </c>
      <c r="AB9" s="13">
        <v>0</v>
      </c>
      <c r="AC9" s="13">
        <v>0</v>
      </c>
      <c r="AD9"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9" s="13">
        <f>L9+Q9+R9+AB9+AC9+Z9+S9+O9+Table1[[#This Row],[پایه سنوات ماهانه]]+Table1[[#This Row],[عيدي]]+Table1[[#This Row],[سنوات]]</f>
        <v>168386585</v>
      </c>
      <c r="AF9" s="13">
        <f>MAX((AC9+Z9+Table1[[#This Row],[پایه سنوات ماهانه]]+S9+R9+Q9+O9+L9-AG9),0)</f>
        <v>156599525</v>
      </c>
      <c r="AG9" s="13">
        <f t="shared" si="12"/>
        <v>11787060</v>
      </c>
      <c r="AH9" s="13">
        <f t="shared" si="13"/>
        <v>33677317</v>
      </c>
      <c r="AI9" s="13">
        <f t="shared" si="14"/>
        <v>5051598</v>
      </c>
      <c r="AJ9" s="13">
        <f t="shared" si="15"/>
        <v>50515975</v>
      </c>
      <c r="AK9" s="13">
        <f t="shared" si="16"/>
        <v>0</v>
      </c>
      <c r="AL9" s="13">
        <f t="shared" si="17"/>
        <v>11787060</v>
      </c>
      <c r="AM9" s="22">
        <f>Table1[[#This Row],[حقوق و مزایای مشمول و غیر مشمول بیمه]]-Table1[[#This Row],[جمع کسورات]]</f>
        <v>156599525</v>
      </c>
      <c r="BA9" s="32"/>
    </row>
    <row r="10" spans="1:53" s="24" customFormat="1" ht="21.6">
      <c r="A10" s="19">
        <v>8</v>
      </c>
      <c r="B10" s="13" t="s">
        <v>98</v>
      </c>
      <c r="C10" s="20"/>
      <c r="D10" s="20"/>
      <c r="E10" s="13">
        <v>3000000</v>
      </c>
      <c r="F10" s="13">
        <v>0</v>
      </c>
      <c r="G10" s="13">
        <f t="shared" si="0"/>
        <v>0</v>
      </c>
      <c r="H10" s="13"/>
      <c r="I10" s="13">
        <f>IF(Table1[[#This Row],[حقوق سال 1403]]=2388728,3463656,(Table1[[#This Row],[حقوق سال 1403]]*1.32+310535))</f>
        <v>4270535</v>
      </c>
      <c r="J10" s="13">
        <v>31</v>
      </c>
      <c r="K10" s="13">
        <v>31</v>
      </c>
      <c r="L10" s="13">
        <f>Table1[[#This Row],[حقوق روزانه سال 1404]]*Table1[[#This Row],[روزهای کارکرد فرد]]</f>
        <v>132386585</v>
      </c>
      <c r="M10" s="13">
        <f>(Table1[[#This Row],[پایه سنوات روزانه تا پایان 30 اسفند 1403
با احتساب افزایش حقوق 1404]]+Table1[[#This Row],[پایه سنوات سال 1404]])*Table1[[#This Row],[روزهای کارکرد فرد]]</f>
        <v>0</v>
      </c>
      <c r="N10" s="13" t="s">
        <v>35</v>
      </c>
      <c r="O10" s="13">
        <f t="shared" si="8"/>
        <v>5000000</v>
      </c>
      <c r="P10" s="13"/>
      <c r="Q10" s="13">
        <f>(((3463656*P10)*3)/Table1[[#This Row],[تعداد روزهای ماه]]*Table1[[#This Row],[روزهای کارکرد فرد]])</f>
        <v>0</v>
      </c>
      <c r="R10" s="13">
        <f>MIN(9000000,((9000000/30)*Table1[[#This Row],[روزهای کارکرد فرد]]))</f>
        <v>9000000</v>
      </c>
      <c r="S10" s="13">
        <f>MIN(22000000,((22000000/30)*Table1[[#This Row],[روزهای کارکرد فرد]]))</f>
        <v>22000000</v>
      </c>
      <c r="T10" s="13">
        <f>Table1[[#This Row],[خواربار]]+Table1[[#This Row],[مسکن]]+Table1[[#This Row],[حق تاهل ]]</f>
        <v>36000000</v>
      </c>
      <c r="U10" s="21"/>
      <c r="V10" s="13">
        <f t="shared" si="9"/>
        <v>0</v>
      </c>
      <c r="W10" s="13">
        <f t="shared" si="10"/>
        <v>0</v>
      </c>
      <c r="X10" s="13">
        <f>((Table1[[#This Row],[حقوق روزانه سال 1404]]*30)/366)*Table1[[#This Row],[تعداد روز کارکرد از ابتدای سال تا امروز (جهت محاسبه عیدی)]]</f>
        <v>0</v>
      </c>
      <c r="Y10" s="13"/>
      <c r="Z10" s="13">
        <f t="shared" si="11"/>
        <v>0</v>
      </c>
      <c r="AA10" s="13">
        <f>IF(Table1[[#This Row],[اضافه کار ]]&lt;10,Table1[[#This Row],[اضافه کار ]],10)</f>
        <v>0</v>
      </c>
      <c r="AB10" s="13">
        <v>0</v>
      </c>
      <c r="AC10" s="13">
        <v>0</v>
      </c>
      <c r="AD10"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10" s="13">
        <f>L10+Q10+R10+AB10+AC10+Z10+S10+O10+Table1[[#This Row],[پایه سنوات ماهانه]]+Table1[[#This Row],[عيدي]]+Table1[[#This Row],[سنوات]]</f>
        <v>168386585</v>
      </c>
      <c r="AF10" s="13">
        <f>MAX((AC10+Z10+Table1[[#This Row],[پایه سنوات ماهانه]]+S10+R10+Q10+O10+L10-AG10),0)</f>
        <v>156599525</v>
      </c>
      <c r="AG10" s="13">
        <f t="shared" si="12"/>
        <v>11787060</v>
      </c>
      <c r="AH10" s="13">
        <f t="shared" si="13"/>
        <v>33677317</v>
      </c>
      <c r="AI10" s="13">
        <f t="shared" si="14"/>
        <v>5051598</v>
      </c>
      <c r="AJ10" s="13">
        <f t="shared" si="15"/>
        <v>50515975</v>
      </c>
      <c r="AK10" s="13">
        <f t="shared" si="16"/>
        <v>0</v>
      </c>
      <c r="AL10" s="13">
        <f t="shared" si="17"/>
        <v>11787060</v>
      </c>
      <c r="AM10" s="22">
        <f>Table1[[#This Row],[حقوق و مزایای مشمول و غیر مشمول بیمه]]-Table1[[#This Row],[جمع کسورات]]</f>
        <v>156599525</v>
      </c>
    </row>
    <row r="11" spans="1:53" s="24" customFormat="1" ht="21.6">
      <c r="A11" s="19">
        <v>9</v>
      </c>
      <c r="B11" s="13" t="s">
        <v>99</v>
      </c>
      <c r="C11" s="20"/>
      <c r="D11" s="20"/>
      <c r="E11" s="13">
        <v>3000000</v>
      </c>
      <c r="F11" s="13">
        <v>0</v>
      </c>
      <c r="G11" s="13">
        <f t="shared" si="0"/>
        <v>0</v>
      </c>
      <c r="H11" s="13"/>
      <c r="I11" s="13">
        <f>IF(Table1[[#This Row],[حقوق سال 1403]]=2388728,3463656,(Table1[[#This Row],[حقوق سال 1403]]*1.32+310535))</f>
        <v>4270535</v>
      </c>
      <c r="J11" s="13">
        <v>31</v>
      </c>
      <c r="K11" s="13">
        <v>31</v>
      </c>
      <c r="L11" s="13">
        <f>Table1[[#This Row],[حقوق روزانه سال 1404]]*Table1[[#This Row],[روزهای کارکرد فرد]]</f>
        <v>132386585</v>
      </c>
      <c r="M11" s="13">
        <f>(Table1[[#This Row],[پایه سنوات روزانه تا پایان 30 اسفند 1403
با احتساب افزایش حقوق 1404]]+Table1[[#This Row],[پایه سنوات سال 1404]])*Table1[[#This Row],[روزهای کارکرد فرد]]</f>
        <v>0</v>
      </c>
      <c r="N11" s="13" t="s">
        <v>35</v>
      </c>
      <c r="O11" s="13">
        <f t="shared" si="8"/>
        <v>5000000</v>
      </c>
      <c r="P11" s="13"/>
      <c r="Q11" s="13">
        <f>(((3463656*P11)*3)/Table1[[#This Row],[تعداد روزهای ماه]]*Table1[[#This Row],[روزهای کارکرد فرد]])</f>
        <v>0</v>
      </c>
      <c r="R11" s="13">
        <f>MIN(9000000,((9000000/30)*Table1[[#This Row],[روزهای کارکرد فرد]]))</f>
        <v>9000000</v>
      </c>
      <c r="S11" s="13">
        <f>MIN(22000000,((22000000/30)*Table1[[#This Row],[روزهای کارکرد فرد]]))</f>
        <v>22000000</v>
      </c>
      <c r="T11" s="13">
        <f>Table1[[#This Row],[خواربار]]+Table1[[#This Row],[مسکن]]+Table1[[#This Row],[حق تاهل ]]</f>
        <v>36000000</v>
      </c>
      <c r="U11" s="21"/>
      <c r="V11" s="13">
        <f t="shared" si="9"/>
        <v>0</v>
      </c>
      <c r="W11" s="13">
        <f t="shared" si="10"/>
        <v>0</v>
      </c>
      <c r="X11" s="13">
        <f>((Table1[[#This Row],[حقوق روزانه سال 1404]]*30)/366)*Table1[[#This Row],[تعداد روز کارکرد از ابتدای سال تا امروز (جهت محاسبه عیدی)]]</f>
        <v>0</v>
      </c>
      <c r="Y11" s="13"/>
      <c r="Z11" s="13">
        <f t="shared" si="11"/>
        <v>0</v>
      </c>
      <c r="AA11" s="13">
        <f>IF(Table1[[#This Row],[اضافه کار ]]&lt;10,Table1[[#This Row],[اضافه کار ]],10)</f>
        <v>0</v>
      </c>
      <c r="AB11" s="13">
        <v>0</v>
      </c>
      <c r="AC11" s="13">
        <v>0</v>
      </c>
      <c r="AD11"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11" s="13">
        <f>L11+Q11+R11+AB11+AC11+Z11+S11+O11+Table1[[#This Row],[پایه سنوات ماهانه]]+Table1[[#This Row],[عيدي]]+Table1[[#This Row],[سنوات]]</f>
        <v>168386585</v>
      </c>
      <c r="AF11" s="13">
        <f>MAX((AC11+Z11+Table1[[#This Row],[پایه سنوات ماهانه]]+S11+R11+Q11+O11+L11-AG11),0)</f>
        <v>156599525</v>
      </c>
      <c r="AG11" s="13">
        <f t="shared" si="12"/>
        <v>11787060</v>
      </c>
      <c r="AH11" s="13">
        <f t="shared" si="13"/>
        <v>33677317</v>
      </c>
      <c r="AI11" s="13">
        <f t="shared" si="14"/>
        <v>5051598</v>
      </c>
      <c r="AJ11" s="13">
        <f t="shared" si="15"/>
        <v>50515975</v>
      </c>
      <c r="AK11" s="13">
        <f t="shared" si="16"/>
        <v>0</v>
      </c>
      <c r="AL11" s="13">
        <f t="shared" si="17"/>
        <v>11787060</v>
      </c>
      <c r="AM11" s="22">
        <f>Table1[[#This Row],[حقوق و مزایای مشمول و غیر مشمول بیمه]]-Table1[[#This Row],[جمع کسورات]]</f>
        <v>156599525</v>
      </c>
    </row>
    <row r="12" spans="1:53" s="24" customFormat="1" ht="21.6">
      <c r="A12" s="19">
        <v>10</v>
      </c>
      <c r="B12" s="13" t="s">
        <v>100</v>
      </c>
      <c r="C12" s="20"/>
      <c r="D12" s="20"/>
      <c r="E12" s="13">
        <v>3000000</v>
      </c>
      <c r="F12" s="13">
        <v>0</v>
      </c>
      <c r="G12" s="13">
        <f t="shared" si="0"/>
        <v>0</v>
      </c>
      <c r="H12" s="13"/>
      <c r="I12" s="13">
        <f>IF(Table1[[#This Row],[حقوق سال 1403]]=2388728,3463656,(Table1[[#This Row],[حقوق سال 1403]]*1.32+310535))</f>
        <v>4270535</v>
      </c>
      <c r="J12" s="13">
        <v>31</v>
      </c>
      <c r="K12" s="13">
        <v>31</v>
      </c>
      <c r="L12" s="13">
        <f>Table1[[#This Row],[حقوق روزانه سال 1404]]*Table1[[#This Row],[روزهای کارکرد فرد]]</f>
        <v>132386585</v>
      </c>
      <c r="M12" s="13">
        <f>(Table1[[#This Row],[پایه سنوات روزانه تا پایان 30 اسفند 1403
با احتساب افزایش حقوق 1404]]+Table1[[#This Row],[پایه سنوات سال 1404]])*Table1[[#This Row],[روزهای کارکرد فرد]]</f>
        <v>0</v>
      </c>
      <c r="N12" s="13" t="s">
        <v>35</v>
      </c>
      <c r="O12" s="13">
        <f t="shared" si="8"/>
        <v>5000000</v>
      </c>
      <c r="P12" s="13"/>
      <c r="Q12" s="13">
        <f>(((3463656*P12)*3)/Table1[[#This Row],[تعداد روزهای ماه]]*Table1[[#This Row],[روزهای کارکرد فرد]])</f>
        <v>0</v>
      </c>
      <c r="R12" s="13">
        <f>MIN(9000000,((9000000/30)*Table1[[#This Row],[روزهای کارکرد فرد]]))</f>
        <v>9000000</v>
      </c>
      <c r="S12" s="13">
        <f>MIN(22000000,((22000000/30)*Table1[[#This Row],[روزهای کارکرد فرد]]))</f>
        <v>22000000</v>
      </c>
      <c r="T12" s="13">
        <f>Table1[[#This Row],[خواربار]]+Table1[[#This Row],[مسکن]]+Table1[[#This Row],[حق تاهل ]]</f>
        <v>36000000</v>
      </c>
      <c r="U12" s="21"/>
      <c r="V12" s="13">
        <f t="shared" si="9"/>
        <v>0</v>
      </c>
      <c r="W12" s="13">
        <f t="shared" si="10"/>
        <v>0</v>
      </c>
      <c r="X12" s="13">
        <f>((Table1[[#This Row],[حقوق روزانه سال 1404]]*30)/366)*Table1[[#This Row],[تعداد روز کارکرد از ابتدای سال تا امروز (جهت محاسبه عیدی)]]</f>
        <v>0</v>
      </c>
      <c r="Y12" s="13"/>
      <c r="Z12" s="13">
        <f t="shared" si="11"/>
        <v>0</v>
      </c>
      <c r="AA12" s="13">
        <f>IF(Table1[[#This Row],[اضافه کار ]]&lt;10,Table1[[#This Row],[اضافه کار ]],10)</f>
        <v>0</v>
      </c>
      <c r="AB12" s="13">
        <v>0</v>
      </c>
      <c r="AC12" s="13">
        <v>0</v>
      </c>
      <c r="AD12"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12" s="13">
        <f>L12+Q12+R12+AB12+AC12+Z12+S12+O12+Table1[[#This Row],[پایه سنوات ماهانه]]+Table1[[#This Row],[عيدي]]+Table1[[#This Row],[سنوات]]</f>
        <v>168386585</v>
      </c>
      <c r="AF12" s="13">
        <f>MAX((AC12+Z12+Table1[[#This Row],[پایه سنوات ماهانه]]+S12+R12+Q12+O12+L12-AG12),0)</f>
        <v>156599525</v>
      </c>
      <c r="AG12" s="13">
        <f t="shared" si="12"/>
        <v>11787060</v>
      </c>
      <c r="AH12" s="13">
        <f t="shared" si="13"/>
        <v>33677317</v>
      </c>
      <c r="AI12" s="13">
        <f t="shared" si="14"/>
        <v>5051598</v>
      </c>
      <c r="AJ12" s="13">
        <f t="shared" si="15"/>
        <v>50515975</v>
      </c>
      <c r="AK12" s="13">
        <f t="shared" si="16"/>
        <v>0</v>
      </c>
      <c r="AL12" s="13">
        <f t="shared" si="17"/>
        <v>11787060</v>
      </c>
      <c r="AM12" s="22">
        <f>Table1[[#This Row],[حقوق و مزایای مشمول و غیر مشمول بیمه]]-Table1[[#This Row],[جمع کسورات]]</f>
        <v>156599525</v>
      </c>
    </row>
    <row r="13" spans="1:53" s="24" customFormat="1" ht="21.6">
      <c r="A13" s="19">
        <v>11</v>
      </c>
      <c r="B13" s="13" t="s">
        <v>101</v>
      </c>
      <c r="C13" s="20"/>
      <c r="D13" s="20"/>
      <c r="E13" s="13">
        <v>3000000</v>
      </c>
      <c r="F13" s="13">
        <v>0</v>
      </c>
      <c r="G13" s="13">
        <f t="shared" si="0"/>
        <v>0</v>
      </c>
      <c r="H13" s="13"/>
      <c r="I13" s="13">
        <f>IF(Table1[[#This Row],[حقوق سال 1403]]=2388728,3463656,(Table1[[#This Row],[حقوق سال 1403]]*1.32+310535))</f>
        <v>4270535</v>
      </c>
      <c r="J13" s="13">
        <v>31</v>
      </c>
      <c r="K13" s="13">
        <v>31</v>
      </c>
      <c r="L13" s="13">
        <f>Table1[[#This Row],[حقوق روزانه سال 1404]]*Table1[[#This Row],[روزهای کارکرد فرد]]</f>
        <v>132386585</v>
      </c>
      <c r="M13" s="13">
        <f>(Table1[[#This Row],[پایه سنوات روزانه تا پایان 30 اسفند 1403
با احتساب افزایش حقوق 1404]]+Table1[[#This Row],[پایه سنوات سال 1404]])*Table1[[#This Row],[روزهای کارکرد فرد]]</f>
        <v>0</v>
      </c>
      <c r="N13" s="13" t="s">
        <v>35</v>
      </c>
      <c r="O13" s="13">
        <f t="shared" si="8"/>
        <v>5000000</v>
      </c>
      <c r="P13" s="13"/>
      <c r="Q13" s="13">
        <f>(((3463656*P13)*3)/Table1[[#This Row],[تعداد روزهای ماه]]*Table1[[#This Row],[روزهای کارکرد فرد]])</f>
        <v>0</v>
      </c>
      <c r="R13" s="13">
        <f>MIN(9000000,((9000000/30)*Table1[[#This Row],[روزهای کارکرد فرد]]))</f>
        <v>9000000</v>
      </c>
      <c r="S13" s="13">
        <f>MIN(22000000,((22000000/30)*Table1[[#This Row],[روزهای کارکرد فرد]]))</f>
        <v>22000000</v>
      </c>
      <c r="T13" s="13">
        <f>Table1[[#This Row],[خواربار]]+Table1[[#This Row],[مسکن]]+Table1[[#This Row],[حق تاهل ]]</f>
        <v>36000000</v>
      </c>
      <c r="U13" s="21"/>
      <c r="V13" s="13">
        <f t="shared" si="9"/>
        <v>0</v>
      </c>
      <c r="W13" s="13">
        <f t="shared" si="10"/>
        <v>0</v>
      </c>
      <c r="X13" s="13">
        <f>((Table1[[#This Row],[حقوق روزانه سال 1404]]*30)/366)*Table1[[#This Row],[تعداد روز کارکرد از ابتدای سال تا امروز (جهت محاسبه عیدی)]]</f>
        <v>0</v>
      </c>
      <c r="Y13" s="13"/>
      <c r="Z13" s="13">
        <f t="shared" si="11"/>
        <v>0</v>
      </c>
      <c r="AA13" s="13">
        <f>IF(Table1[[#This Row],[اضافه کار ]]&lt;10,Table1[[#This Row],[اضافه کار ]],10)</f>
        <v>0</v>
      </c>
      <c r="AB13" s="13">
        <v>0</v>
      </c>
      <c r="AC13" s="13">
        <v>0</v>
      </c>
      <c r="AD13"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13" s="13">
        <f>L13+Q13+R13+AB13+AC13+Z13+S13+O13+Table1[[#This Row],[پایه سنوات ماهانه]]+Table1[[#This Row],[عيدي]]+Table1[[#This Row],[سنوات]]</f>
        <v>168386585</v>
      </c>
      <c r="AF13" s="13">
        <f>MAX((AC13+Z13+Table1[[#This Row],[پایه سنوات ماهانه]]+S13+R13+Q13+O13+L13-AG13),0)</f>
        <v>156599525</v>
      </c>
      <c r="AG13" s="13">
        <f t="shared" si="12"/>
        <v>11787060</v>
      </c>
      <c r="AH13" s="13">
        <f t="shared" si="13"/>
        <v>33677317</v>
      </c>
      <c r="AI13" s="13">
        <f t="shared" si="14"/>
        <v>5051598</v>
      </c>
      <c r="AJ13" s="13">
        <f t="shared" si="15"/>
        <v>50515975</v>
      </c>
      <c r="AK13" s="13">
        <f t="shared" si="16"/>
        <v>0</v>
      </c>
      <c r="AL13" s="13">
        <f t="shared" si="17"/>
        <v>11787060</v>
      </c>
      <c r="AM13" s="22">
        <f>Table1[[#This Row],[حقوق و مزایای مشمول و غیر مشمول بیمه]]-Table1[[#This Row],[جمع کسورات]]</f>
        <v>156599525</v>
      </c>
    </row>
    <row r="14" spans="1:53" s="24" customFormat="1" ht="21.6">
      <c r="A14" s="19">
        <v>12</v>
      </c>
      <c r="B14" s="13" t="s">
        <v>102</v>
      </c>
      <c r="C14" s="20"/>
      <c r="D14" s="20"/>
      <c r="E14" s="13">
        <v>3000000</v>
      </c>
      <c r="F14" s="13">
        <v>0</v>
      </c>
      <c r="G14" s="13">
        <f t="shared" si="0"/>
        <v>0</v>
      </c>
      <c r="H14" s="13"/>
      <c r="I14" s="13">
        <f>IF(Table1[[#This Row],[حقوق سال 1403]]=2388728,3463656,(Table1[[#This Row],[حقوق سال 1403]]*1.32+310535))</f>
        <v>4270535</v>
      </c>
      <c r="J14" s="13">
        <v>31</v>
      </c>
      <c r="K14" s="13">
        <v>31</v>
      </c>
      <c r="L14" s="13">
        <f>Table1[[#This Row],[حقوق روزانه سال 1404]]*Table1[[#This Row],[روزهای کارکرد فرد]]</f>
        <v>132386585</v>
      </c>
      <c r="M14" s="13">
        <f>(Table1[[#This Row],[پایه سنوات روزانه تا پایان 30 اسفند 1403
با احتساب افزایش حقوق 1404]]+Table1[[#This Row],[پایه سنوات سال 1404]])*Table1[[#This Row],[روزهای کارکرد فرد]]</f>
        <v>0</v>
      </c>
      <c r="N14" s="13" t="s">
        <v>35</v>
      </c>
      <c r="O14" s="13">
        <f t="shared" si="8"/>
        <v>5000000</v>
      </c>
      <c r="P14" s="13"/>
      <c r="Q14" s="13">
        <f>(((3463656*P14)*3)/Table1[[#This Row],[تعداد روزهای ماه]]*Table1[[#This Row],[روزهای کارکرد فرد]])</f>
        <v>0</v>
      </c>
      <c r="R14" s="13">
        <f>MIN(9000000,((9000000/30)*Table1[[#This Row],[روزهای کارکرد فرد]]))</f>
        <v>9000000</v>
      </c>
      <c r="S14" s="13">
        <f>MIN(22000000,((22000000/30)*Table1[[#This Row],[روزهای کارکرد فرد]]))</f>
        <v>22000000</v>
      </c>
      <c r="T14" s="13">
        <f>Table1[[#This Row],[خواربار]]+Table1[[#This Row],[مسکن]]+Table1[[#This Row],[حق تاهل ]]</f>
        <v>36000000</v>
      </c>
      <c r="U14" s="21"/>
      <c r="V14" s="13">
        <f t="shared" si="9"/>
        <v>0</v>
      </c>
      <c r="W14" s="13">
        <f t="shared" si="10"/>
        <v>0</v>
      </c>
      <c r="X14" s="13">
        <f>((Table1[[#This Row],[حقوق روزانه سال 1404]]*30)/366)*Table1[[#This Row],[تعداد روز کارکرد از ابتدای سال تا امروز (جهت محاسبه عیدی)]]</f>
        <v>0</v>
      </c>
      <c r="Y14" s="13"/>
      <c r="Z14" s="13">
        <f t="shared" si="11"/>
        <v>0</v>
      </c>
      <c r="AA14" s="13">
        <f>IF(Table1[[#This Row],[اضافه کار ]]&lt;10,Table1[[#This Row],[اضافه کار ]],10)</f>
        <v>0</v>
      </c>
      <c r="AB14" s="13">
        <v>0</v>
      </c>
      <c r="AC14" s="13">
        <v>0</v>
      </c>
      <c r="AD14"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14" s="13">
        <f>L14+Q14+R14+AB14+AC14+Z14+S14+O14+Table1[[#This Row],[پایه سنوات ماهانه]]+Table1[[#This Row],[عيدي]]+Table1[[#This Row],[سنوات]]</f>
        <v>168386585</v>
      </c>
      <c r="AF14" s="13">
        <f>MAX((AC14+Z14+Table1[[#This Row],[پایه سنوات ماهانه]]+S14+R14+Q14+O14+L14-AG14),0)</f>
        <v>156599525</v>
      </c>
      <c r="AG14" s="13">
        <f t="shared" si="12"/>
        <v>11787060</v>
      </c>
      <c r="AH14" s="13">
        <f t="shared" si="13"/>
        <v>33677317</v>
      </c>
      <c r="AI14" s="13">
        <f t="shared" si="14"/>
        <v>5051598</v>
      </c>
      <c r="AJ14" s="13">
        <f t="shared" si="15"/>
        <v>50515975</v>
      </c>
      <c r="AK14" s="13">
        <f t="shared" si="16"/>
        <v>0</v>
      </c>
      <c r="AL14" s="13">
        <f t="shared" si="17"/>
        <v>11787060</v>
      </c>
      <c r="AM14" s="22">
        <f>Table1[[#This Row],[حقوق و مزایای مشمول و غیر مشمول بیمه]]-Table1[[#This Row],[جمع کسورات]]</f>
        <v>156599525</v>
      </c>
    </row>
    <row r="15" spans="1:53" s="24" customFormat="1" ht="21.6">
      <c r="A15" s="19">
        <v>13</v>
      </c>
      <c r="B15" s="13" t="s">
        <v>103</v>
      </c>
      <c r="C15" s="20"/>
      <c r="D15" s="20"/>
      <c r="E15" s="13">
        <v>3000000</v>
      </c>
      <c r="F15" s="13">
        <v>0</v>
      </c>
      <c r="G15" s="13">
        <f t="shared" si="0"/>
        <v>0</v>
      </c>
      <c r="H15" s="13"/>
      <c r="I15" s="13">
        <f>IF(Table1[[#This Row],[حقوق سال 1403]]=2388728,3463656,(Table1[[#This Row],[حقوق سال 1403]]*1.32+310535))</f>
        <v>4270535</v>
      </c>
      <c r="J15" s="13">
        <v>31</v>
      </c>
      <c r="K15" s="13">
        <v>31</v>
      </c>
      <c r="L15" s="13">
        <f>Table1[[#This Row],[حقوق روزانه سال 1404]]*Table1[[#This Row],[روزهای کارکرد فرد]]</f>
        <v>132386585</v>
      </c>
      <c r="M15" s="13">
        <f>(Table1[[#This Row],[پایه سنوات روزانه تا پایان 30 اسفند 1403
با احتساب افزایش حقوق 1404]]+Table1[[#This Row],[پایه سنوات سال 1404]])*Table1[[#This Row],[روزهای کارکرد فرد]]</f>
        <v>0</v>
      </c>
      <c r="N15" s="13" t="s">
        <v>35</v>
      </c>
      <c r="O15" s="13">
        <f t="shared" si="8"/>
        <v>5000000</v>
      </c>
      <c r="P15" s="13"/>
      <c r="Q15" s="13">
        <f>(((3463656*P15)*3)/Table1[[#This Row],[تعداد روزهای ماه]]*Table1[[#This Row],[روزهای کارکرد فرد]])</f>
        <v>0</v>
      </c>
      <c r="R15" s="13">
        <f>MIN(9000000,((9000000/30)*Table1[[#This Row],[روزهای کارکرد فرد]]))</f>
        <v>9000000</v>
      </c>
      <c r="S15" s="13">
        <f>MIN(22000000,((22000000/30)*Table1[[#This Row],[روزهای کارکرد فرد]]))</f>
        <v>22000000</v>
      </c>
      <c r="T15" s="13">
        <f>Table1[[#This Row],[خواربار]]+Table1[[#This Row],[مسکن]]+Table1[[#This Row],[حق تاهل ]]</f>
        <v>36000000</v>
      </c>
      <c r="U15" s="21"/>
      <c r="V15" s="13">
        <f t="shared" si="9"/>
        <v>0</v>
      </c>
      <c r="W15" s="13">
        <f t="shared" si="10"/>
        <v>0</v>
      </c>
      <c r="X15" s="13">
        <f>((Table1[[#This Row],[حقوق روزانه سال 1404]]*30)/366)*Table1[[#This Row],[تعداد روز کارکرد از ابتدای سال تا امروز (جهت محاسبه عیدی)]]</f>
        <v>0</v>
      </c>
      <c r="Y15" s="13"/>
      <c r="Z15" s="13">
        <f t="shared" si="11"/>
        <v>0</v>
      </c>
      <c r="AA15" s="13">
        <f>IF(Table1[[#This Row],[اضافه کار ]]&lt;10,Table1[[#This Row],[اضافه کار ]],10)</f>
        <v>0</v>
      </c>
      <c r="AB15" s="13">
        <v>0</v>
      </c>
      <c r="AC15" s="13">
        <v>0</v>
      </c>
      <c r="AD15"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15" s="13">
        <f>L15+Q15+R15+AB15+AC15+Z15+S15+O15+Table1[[#This Row],[پایه سنوات ماهانه]]+Table1[[#This Row],[عيدي]]+Table1[[#This Row],[سنوات]]</f>
        <v>168386585</v>
      </c>
      <c r="AF15" s="13">
        <f>MAX((AC15+Z15+Table1[[#This Row],[پایه سنوات ماهانه]]+S15+R15+Q15+O15+L15-AG15),0)</f>
        <v>156599525</v>
      </c>
      <c r="AG15" s="13">
        <f t="shared" si="12"/>
        <v>11787060</v>
      </c>
      <c r="AH15" s="13">
        <f t="shared" si="13"/>
        <v>33677317</v>
      </c>
      <c r="AI15" s="13">
        <f t="shared" si="14"/>
        <v>5051598</v>
      </c>
      <c r="AJ15" s="13">
        <f t="shared" si="15"/>
        <v>50515975</v>
      </c>
      <c r="AK15" s="13">
        <f t="shared" si="16"/>
        <v>0</v>
      </c>
      <c r="AL15" s="13">
        <f t="shared" si="17"/>
        <v>11787060</v>
      </c>
      <c r="AM15" s="22">
        <f>Table1[[#This Row],[حقوق و مزایای مشمول و غیر مشمول بیمه]]-Table1[[#This Row],[جمع کسورات]]</f>
        <v>156599525</v>
      </c>
    </row>
    <row r="16" spans="1:53" s="24" customFormat="1" ht="21.6">
      <c r="A16" s="19">
        <v>14</v>
      </c>
      <c r="B16" s="13" t="s">
        <v>104</v>
      </c>
      <c r="C16" s="20"/>
      <c r="D16" s="20"/>
      <c r="E16" s="13">
        <v>3000000</v>
      </c>
      <c r="F16" s="13">
        <v>0</v>
      </c>
      <c r="G16" s="13">
        <f t="shared" si="0"/>
        <v>0</v>
      </c>
      <c r="H16" s="13"/>
      <c r="I16" s="13">
        <f>IF(Table1[[#This Row],[حقوق سال 1403]]=2388728,3463656,(Table1[[#This Row],[حقوق سال 1403]]*1.32+310535))</f>
        <v>4270535</v>
      </c>
      <c r="J16" s="13">
        <v>31</v>
      </c>
      <c r="K16" s="13">
        <v>31</v>
      </c>
      <c r="L16" s="13">
        <f>Table1[[#This Row],[حقوق روزانه سال 1404]]*Table1[[#This Row],[روزهای کارکرد فرد]]</f>
        <v>132386585</v>
      </c>
      <c r="M16" s="13">
        <f>(Table1[[#This Row],[پایه سنوات روزانه تا پایان 30 اسفند 1403
با احتساب افزایش حقوق 1404]]+Table1[[#This Row],[پایه سنوات سال 1404]])*Table1[[#This Row],[روزهای کارکرد فرد]]</f>
        <v>0</v>
      </c>
      <c r="N16" s="13" t="s">
        <v>35</v>
      </c>
      <c r="O16" s="13">
        <f t="shared" si="8"/>
        <v>5000000</v>
      </c>
      <c r="P16" s="13"/>
      <c r="Q16" s="13">
        <f>(((3463656*P16)*3)/Table1[[#This Row],[تعداد روزهای ماه]]*Table1[[#This Row],[روزهای کارکرد فرد]])</f>
        <v>0</v>
      </c>
      <c r="R16" s="13">
        <f>MIN(9000000,((9000000/30)*Table1[[#This Row],[روزهای کارکرد فرد]]))</f>
        <v>9000000</v>
      </c>
      <c r="S16" s="13">
        <f>MIN(22000000,((22000000/30)*Table1[[#This Row],[روزهای کارکرد فرد]]))</f>
        <v>22000000</v>
      </c>
      <c r="T16" s="13">
        <f>Table1[[#This Row],[خواربار]]+Table1[[#This Row],[مسکن]]+Table1[[#This Row],[حق تاهل ]]</f>
        <v>36000000</v>
      </c>
      <c r="U16" s="21"/>
      <c r="V16" s="13">
        <f t="shared" si="9"/>
        <v>0</v>
      </c>
      <c r="W16" s="13">
        <f t="shared" si="10"/>
        <v>0</v>
      </c>
      <c r="X16" s="13">
        <f>((Table1[[#This Row],[حقوق روزانه سال 1404]]*30)/366)*Table1[[#This Row],[تعداد روز کارکرد از ابتدای سال تا امروز (جهت محاسبه عیدی)]]</f>
        <v>0</v>
      </c>
      <c r="Y16" s="13"/>
      <c r="Z16" s="13">
        <f t="shared" si="11"/>
        <v>0</v>
      </c>
      <c r="AA16" s="13">
        <f>IF(Table1[[#This Row],[اضافه کار ]]&lt;10,Table1[[#This Row],[اضافه کار ]],10)</f>
        <v>0</v>
      </c>
      <c r="AB16" s="13">
        <v>0</v>
      </c>
      <c r="AC16" s="13">
        <v>0</v>
      </c>
      <c r="AD16"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16" s="13">
        <f>L16+Q16+R16+AB16+AC16+Z16+S16+O16+Table1[[#This Row],[پایه سنوات ماهانه]]+Table1[[#This Row],[عيدي]]+Table1[[#This Row],[سنوات]]</f>
        <v>168386585</v>
      </c>
      <c r="AF16" s="13">
        <f>MAX((AC16+Z16+Table1[[#This Row],[پایه سنوات ماهانه]]+S16+R16+Q16+O16+L16-AG16),0)</f>
        <v>156599525</v>
      </c>
      <c r="AG16" s="13">
        <f t="shared" si="12"/>
        <v>11787060</v>
      </c>
      <c r="AH16" s="13">
        <f t="shared" si="13"/>
        <v>33677317</v>
      </c>
      <c r="AI16" s="13">
        <f t="shared" si="14"/>
        <v>5051598</v>
      </c>
      <c r="AJ16" s="13">
        <f t="shared" si="15"/>
        <v>50515975</v>
      </c>
      <c r="AK16" s="13">
        <f t="shared" si="16"/>
        <v>0</v>
      </c>
      <c r="AL16" s="13">
        <f t="shared" si="17"/>
        <v>11787060</v>
      </c>
      <c r="AM16" s="22">
        <f>Table1[[#This Row],[حقوق و مزایای مشمول و غیر مشمول بیمه]]-Table1[[#This Row],[جمع کسورات]]</f>
        <v>156599525</v>
      </c>
    </row>
    <row r="17" spans="1:39" s="24" customFormat="1" ht="21.6">
      <c r="A17" s="19">
        <v>15</v>
      </c>
      <c r="B17" s="13" t="s">
        <v>105</v>
      </c>
      <c r="C17" s="20"/>
      <c r="D17" s="20"/>
      <c r="E17" s="13">
        <v>3000000</v>
      </c>
      <c r="F17" s="13">
        <v>0</v>
      </c>
      <c r="G17" s="13">
        <f t="shared" si="0"/>
        <v>0</v>
      </c>
      <c r="H17" s="13"/>
      <c r="I17" s="13">
        <f>IF(Table1[[#This Row],[حقوق سال 1403]]=2388728,3463656,(Table1[[#This Row],[حقوق سال 1403]]*1.32+310535))</f>
        <v>4270535</v>
      </c>
      <c r="J17" s="13">
        <v>31</v>
      </c>
      <c r="K17" s="13">
        <v>31</v>
      </c>
      <c r="L17" s="13">
        <f>Table1[[#This Row],[حقوق روزانه سال 1404]]*Table1[[#This Row],[روزهای کارکرد فرد]]</f>
        <v>132386585</v>
      </c>
      <c r="M17" s="13">
        <f>(Table1[[#This Row],[پایه سنوات روزانه تا پایان 30 اسفند 1403
با احتساب افزایش حقوق 1404]]+Table1[[#This Row],[پایه سنوات سال 1404]])*Table1[[#This Row],[روزهای کارکرد فرد]]</f>
        <v>0</v>
      </c>
      <c r="N17" s="13" t="s">
        <v>35</v>
      </c>
      <c r="O17" s="13">
        <f t="shared" si="8"/>
        <v>5000000</v>
      </c>
      <c r="P17" s="13"/>
      <c r="Q17" s="13">
        <f>(((3463656*P17)*3)/Table1[[#This Row],[تعداد روزهای ماه]]*Table1[[#This Row],[روزهای کارکرد فرد]])</f>
        <v>0</v>
      </c>
      <c r="R17" s="13">
        <f>MIN(9000000,((9000000/30)*Table1[[#This Row],[روزهای کارکرد فرد]]))</f>
        <v>9000000</v>
      </c>
      <c r="S17" s="13">
        <f>MIN(22000000,((22000000/30)*Table1[[#This Row],[روزهای کارکرد فرد]]))</f>
        <v>22000000</v>
      </c>
      <c r="T17" s="13">
        <f>Table1[[#This Row],[خواربار]]+Table1[[#This Row],[مسکن]]+Table1[[#This Row],[حق تاهل ]]</f>
        <v>36000000</v>
      </c>
      <c r="U17" s="21"/>
      <c r="V17" s="13">
        <f t="shared" si="9"/>
        <v>0</v>
      </c>
      <c r="W17" s="13">
        <f t="shared" si="10"/>
        <v>0</v>
      </c>
      <c r="X17" s="13">
        <f>((Table1[[#This Row],[حقوق روزانه سال 1404]]*30)/366)*Table1[[#This Row],[تعداد روز کارکرد از ابتدای سال تا امروز (جهت محاسبه عیدی)]]</f>
        <v>0</v>
      </c>
      <c r="Y17" s="13"/>
      <c r="Z17" s="13">
        <f t="shared" si="11"/>
        <v>0</v>
      </c>
      <c r="AA17" s="13">
        <f>IF(Table1[[#This Row],[اضافه کار ]]&lt;10,Table1[[#This Row],[اضافه کار ]],10)</f>
        <v>0</v>
      </c>
      <c r="AB17" s="13">
        <v>0</v>
      </c>
      <c r="AC17" s="13">
        <v>0</v>
      </c>
      <c r="AD17"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17" s="13">
        <f>L17+Q17+R17+AB17+AC17+Z17+S17+O17+Table1[[#This Row],[پایه سنوات ماهانه]]+Table1[[#This Row],[عيدي]]+Table1[[#This Row],[سنوات]]</f>
        <v>168386585</v>
      </c>
      <c r="AF17" s="13">
        <f>MAX((AC17+Z17+Table1[[#This Row],[پایه سنوات ماهانه]]+S17+R17+Q17+O17+L17-AG17),0)</f>
        <v>156599525</v>
      </c>
      <c r="AG17" s="13">
        <f t="shared" si="12"/>
        <v>11787060</v>
      </c>
      <c r="AH17" s="13">
        <f t="shared" si="13"/>
        <v>33677317</v>
      </c>
      <c r="AI17" s="13">
        <f t="shared" si="14"/>
        <v>5051598</v>
      </c>
      <c r="AJ17" s="13">
        <f t="shared" si="15"/>
        <v>50515975</v>
      </c>
      <c r="AK17" s="13">
        <f t="shared" si="16"/>
        <v>0</v>
      </c>
      <c r="AL17" s="13">
        <f t="shared" si="17"/>
        <v>11787060</v>
      </c>
      <c r="AM17" s="22">
        <f>Table1[[#This Row],[حقوق و مزایای مشمول و غیر مشمول بیمه]]-Table1[[#This Row],[جمع کسورات]]</f>
        <v>156599525</v>
      </c>
    </row>
    <row r="18" spans="1:39" s="24" customFormat="1" ht="21.6">
      <c r="A18" s="19">
        <v>16</v>
      </c>
      <c r="B18" s="13" t="s">
        <v>106</v>
      </c>
      <c r="C18" s="20"/>
      <c r="D18" s="20"/>
      <c r="E18" s="13">
        <v>3000000</v>
      </c>
      <c r="F18" s="13">
        <v>0</v>
      </c>
      <c r="G18" s="13">
        <f t="shared" si="0"/>
        <v>0</v>
      </c>
      <c r="H18" s="13"/>
      <c r="I18" s="13">
        <f>IF(Table1[[#This Row],[حقوق سال 1403]]=2388728,3463656,(Table1[[#This Row],[حقوق سال 1403]]*1.32+310535))</f>
        <v>4270535</v>
      </c>
      <c r="J18" s="13">
        <v>31</v>
      </c>
      <c r="K18" s="13">
        <v>31</v>
      </c>
      <c r="L18" s="13">
        <f>Table1[[#This Row],[حقوق روزانه سال 1404]]*Table1[[#This Row],[روزهای کارکرد فرد]]</f>
        <v>132386585</v>
      </c>
      <c r="M18" s="13">
        <f>(Table1[[#This Row],[پایه سنوات روزانه تا پایان 30 اسفند 1403
با احتساب افزایش حقوق 1404]]+Table1[[#This Row],[پایه سنوات سال 1404]])*Table1[[#This Row],[روزهای کارکرد فرد]]</f>
        <v>0</v>
      </c>
      <c r="N18" s="13" t="s">
        <v>35</v>
      </c>
      <c r="O18" s="13">
        <f t="shared" si="8"/>
        <v>5000000</v>
      </c>
      <c r="P18" s="13"/>
      <c r="Q18" s="13">
        <f>(((3463656*P18)*3)/Table1[[#This Row],[تعداد روزهای ماه]]*Table1[[#This Row],[روزهای کارکرد فرد]])</f>
        <v>0</v>
      </c>
      <c r="R18" s="13">
        <f>MIN(9000000,((9000000/30)*Table1[[#This Row],[روزهای کارکرد فرد]]))</f>
        <v>9000000</v>
      </c>
      <c r="S18" s="13">
        <f>MIN(22000000,((22000000/30)*Table1[[#This Row],[روزهای کارکرد فرد]]))</f>
        <v>22000000</v>
      </c>
      <c r="T18" s="13">
        <f>Table1[[#This Row],[خواربار]]+Table1[[#This Row],[مسکن]]+Table1[[#This Row],[حق تاهل ]]</f>
        <v>36000000</v>
      </c>
      <c r="U18" s="21"/>
      <c r="V18" s="13">
        <f t="shared" si="9"/>
        <v>0</v>
      </c>
      <c r="W18" s="13">
        <f t="shared" si="10"/>
        <v>0</v>
      </c>
      <c r="X18" s="13">
        <f>((Table1[[#This Row],[حقوق روزانه سال 1404]]*30)/366)*Table1[[#This Row],[تعداد روز کارکرد از ابتدای سال تا امروز (جهت محاسبه عیدی)]]</f>
        <v>0</v>
      </c>
      <c r="Y18" s="13"/>
      <c r="Z18" s="13">
        <f t="shared" si="11"/>
        <v>0</v>
      </c>
      <c r="AA18" s="13">
        <f>IF(Table1[[#This Row],[اضافه کار ]]&lt;10,Table1[[#This Row],[اضافه کار ]],10)</f>
        <v>0</v>
      </c>
      <c r="AB18" s="13">
        <v>0</v>
      </c>
      <c r="AC18" s="13">
        <v>0</v>
      </c>
      <c r="AD18"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18" s="13">
        <f>L18+Q18+R18+AB18+AC18+Z18+S18+O18+Table1[[#This Row],[پایه سنوات ماهانه]]+Table1[[#This Row],[عيدي]]+Table1[[#This Row],[سنوات]]</f>
        <v>168386585</v>
      </c>
      <c r="AF18" s="13">
        <f>MAX((AC18+Z18+Table1[[#This Row],[پایه سنوات ماهانه]]+S18+R18+Q18+O18+L18-AG18),0)</f>
        <v>156599525</v>
      </c>
      <c r="AG18" s="13">
        <f t="shared" si="12"/>
        <v>11787060</v>
      </c>
      <c r="AH18" s="13">
        <f t="shared" si="13"/>
        <v>33677317</v>
      </c>
      <c r="AI18" s="13">
        <f t="shared" si="14"/>
        <v>5051598</v>
      </c>
      <c r="AJ18" s="13">
        <f t="shared" si="15"/>
        <v>50515975</v>
      </c>
      <c r="AK18" s="13">
        <f t="shared" si="16"/>
        <v>0</v>
      </c>
      <c r="AL18" s="13">
        <f t="shared" si="17"/>
        <v>11787060</v>
      </c>
      <c r="AM18" s="22">
        <f>Table1[[#This Row],[حقوق و مزایای مشمول و غیر مشمول بیمه]]-Table1[[#This Row],[جمع کسورات]]</f>
        <v>156599525</v>
      </c>
    </row>
    <row r="19" spans="1:39" s="24" customFormat="1" ht="21.6">
      <c r="A19" s="19">
        <v>17</v>
      </c>
      <c r="B19" s="13" t="s">
        <v>107</v>
      </c>
      <c r="C19" s="20"/>
      <c r="D19" s="20"/>
      <c r="E19" s="13">
        <v>3000000</v>
      </c>
      <c r="F19" s="13">
        <v>0</v>
      </c>
      <c r="G19" s="13">
        <f t="shared" si="0"/>
        <v>0</v>
      </c>
      <c r="H19" s="13"/>
      <c r="I19" s="13">
        <f>IF(Table1[[#This Row],[حقوق سال 1403]]=2388728,3463656,(Table1[[#This Row],[حقوق سال 1403]]*1.32+310535))</f>
        <v>4270535</v>
      </c>
      <c r="J19" s="13">
        <v>31</v>
      </c>
      <c r="K19" s="13">
        <v>31</v>
      </c>
      <c r="L19" s="13">
        <f>Table1[[#This Row],[حقوق روزانه سال 1404]]*Table1[[#This Row],[روزهای کارکرد فرد]]</f>
        <v>132386585</v>
      </c>
      <c r="M19" s="13">
        <f>(Table1[[#This Row],[پایه سنوات روزانه تا پایان 30 اسفند 1403
با احتساب افزایش حقوق 1404]]+Table1[[#This Row],[پایه سنوات سال 1404]])*Table1[[#This Row],[روزهای کارکرد فرد]]</f>
        <v>0</v>
      </c>
      <c r="N19" s="13" t="s">
        <v>35</v>
      </c>
      <c r="O19" s="13">
        <f t="shared" si="8"/>
        <v>5000000</v>
      </c>
      <c r="P19" s="13"/>
      <c r="Q19" s="13">
        <f>(((3463656*P19)*3)/Table1[[#This Row],[تعداد روزهای ماه]]*Table1[[#This Row],[روزهای کارکرد فرد]])</f>
        <v>0</v>
      </c>
      <c r="R19" s="13">
        <f>MIN(9000000,((9000000/30)*Table1[[#This Row],[روزهای کارکرد فرد]]))</f>
        <v>9000000</v>
      </c>
      <c r="S19" s="13">
        <f>MIN(22000000,((22000000/30)*Table1[[#This Row],[روزهای کارکرد فرد]]))</f>
        <v>22000000</v>
      </c>
      <c r="T19" s="13">
        <f>Table1[[#This Row],[خواربار]]+Table1[[#This Row],[مسکن]]+Table1[[#This Row],[حق تاهل ]]</f>
        <v>36000000</v>
      </c>
      <c r="U19" s="21"/>
      <c r="V19" s="13">
        <f t="shared" si="9"/>
        <v>0</v>
      </c>
      <c r="W19" s="13">
        <f t="shared" si="10"/>
        <v>0</v>
      </c>
      <c r="X19" s="13">
        <f>((Table1[[#This Row],[حقوق روزانه سال 1404]]*30)/366)*Table1[[#This Row],[تعداد روز کارکرد از ابتدای سال تا امروز (جهت محاسبه عیدی)]]</f>
        <v>0</v>
      </c>
      <c r="Y19" s="13"/>
      <c r="Z19" s="13">
        <f t="shared" si="11"/>
        <v>0</v>
      </c>
      <c r="AA19" s="13">
        <f>IF(Table1[[#This Row],[اضافه کار ]]&lt;10,Table1[[#This Row],[اضافه کار ]],10)</f>
        <v>0</v>
      </c>
      <c r="AB19" s="13">
        <v>0</v>
      </c>
      <c r="AC19" s="13">
        <v>0</v>
      </c>
      <c r="AD19"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168386585</v>
      </c>
      <c r="AE19" s="13">
        <f>L19+Q19+R19+AB19+AC19+Z19+S19+O19+Table1[[#This Row],[پایه سنوات ماهانه]]+Table1[[#This Row],[عيدي]]+Table1[[#This Row],[سنوات]]</f>
        <v>168386585</v>
      </c>
      <c r="AF19" s="13">
        <f>MAX((AC19+Z19+Table1[[#This Row],[پایه سنوات ماهانه]]+S19+R19+Q19+O19+L19-AG19),0)</f>
        <v>156599525</v>
      </c>
      <c r="AG19" s="13">
        <f t="shared" si="12"/>
        <v>11787060</v>
      </c>
      <c r="AH19" s="13">
        <f t="shared" si="13"/>
        <v>33677317</v>
      </c>
      <c r="AI19" s="13">
        <f t="shared" si="14"/>
        <v>5051598</v>
      </c>
      <c r="AJ19" s="13">
        <f t="shared" si="15"/>
        <v>50515975</v>
      </c>
      <c r="AK19" s="13">
        <f t="shared" si="16"/>
        <v>0</v>
      </c>
      <c r="AL19" s="13">
        <f t="shared" si="17"/>
        <v>11787060</v>
      </c>
      <c r="AM19" s="22">
        <f>Table1[[#This Row],[حقوق و مزایای مشمول و غیر مشمول بیمه]]-Table1[[#This Row],[جمع کسورات]]</f>
        <v>156599525</v>
      </c>
    </row>
    <row r="20" spans="1:39" s="24" customFormat="1" ht="21.6">
      <c r="A20" s="19">
        <v>18</v>
      </c>
      <c r="B20" s="13" t="s">
        <v>108</v>
      </c>
      <c r="C20" s="20"/>
      <c r="D20" s="20"/>
      <c r="E20" s="13">
        <v>3000000</v>
      </c>
      <c r="F20" s="13">
        <v>5</v>
      </c>
      <c r="G20" s="13">
        <f t="shared" si="0"/>
        <v>579958.51458863996</v>
      </c>
      <c r="H20" s="13"/>
      <c r="I20" s="13">
        <f>IF(Table1[[#This Row],[حقوق سال 1403]]=2388728,3463656,(Table1[[#This Row],[حقوق سال 1403]]*1.32+310535))</f>
        <v>4270535</v>
      </c>
      <c r="J20" s="13">
        <v>31</v>
      </c>
      <c r="K20" s="13">
        <v>31</v>
      </c>
      <c r="L20" s="13">
        <f>Table1[[#This Row],[حقوق روزانه سال 1404]]*Table1[[#This Row],[روزهای کارکرد فرد]]</f>
        <v>132386585</v>
      </c>
      <c r="M20" s="13">
        <f>(Table1[[#This Row],[پایه سنوات روزانه تا پایان 30 اسفند 1403
با احتساب افزایش حقوق 1404]]+Table1[[#This Row],[پایه سنوات سال 1404]])*Table1[[#This Row],[روزهای کارکرد فرد]]</f>
        <v>17978713.952247839</v>
      </c>
      <c r="N20" s="13" t="s">
        <v>35</v>
      </c>
      <c r="O20" s="13">
        <f t="shared" si="8"/>
        <v>5000000</v>
      </c>
      <c r="P20" s="13"/>
      <c r="Q20" s="13">
        <f>(((3463656*P20)*3)/Table1[[#This Row],[تعداد روزهای ماه]]*Table1[[#This Row],[روزهای کارکرد فرد]])</f>
        <v>0</v>
      </c>
      <c r="R20" s="13">
        <f>MIN(9000000,((9000000/30)*Table1[[#This Row],[روزهای کارکرد فرد]]))</f>
        <v>9000000</v>
      </c>
      <c r="S20" s="13">
        <f>MIN(22000000,((22000000/30)*Table1[[#This Row],[روزهای کارکرد فرد]]))</f>
        <v>22000000</v>
      </c>
      <c r="T20" s="13">
        <f>Table1[[#This Row],[خواربار]]+Table1[[#This Row],[مسکن]]+Table1[[#This Row],[حق تاهل ]]</f>
        <v>36000000</v>
      </c>
      <c r="U20" s="21"/>
      <c r="V20" s="13">
        <f t="shared" si="9"/>
        <v>0</v>
      </c>
      <c r="W20" s="13">
        <f t="shared" si="10"/>
        <v>0</v>
      </c>
      <c r="X20" s="13">
        <f>((Table1[[#This Row],[حقوق روزانه سال 1404]]*30)/366)*Table1[[#This Row],[تعداد روز کارکرد از ابتدای سال تا امروز (جهت محاسبه عیدی)]]</f>
        <v>0</v>
      </c>
      <c r="Y20" s="13"/>
      <c r="Z20" s="13">
        <f t="shared" si="11"/>
        <v>0</v>
      </c>
      <c r="AA20" s="13">
        <f>IF(Table1[[#This Row],[اضافه کار ]]&lt;10,Table1[[#This Row],[اضافه کار ]],10)</f>
        <v>0</v>
      </c>
      <c r="AB20" s="13">
        <v>0</v>
      </c>
      <c r="AC20" s="13">
        <v>0</v>
      </c>
      <c r="AD20"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20" s="13">
        <f>L20+Q20+R20+AB20+AC20+Z20+S20+O20+Table1[[#This Row],[پایه سنوات ماهانه]]+Table1[[#This Row],[عيدي]]+Table1[[#This Row],[سنوات]]</f>
        <v>186365298.95224783</v>
      </c>
      <c r="AF20" s="13">
        <f>MAX((AC20+Z20+Table1[[#This Row],[پایه سنوات ماهانه]]+S20+R20+Q20+O20+L20-AG20),0)</f>
        <v>173319728.95224786</v>
      </c>
      <c r="AG20" s="13">
        <f t="shared" si="12"/>
        <v>13045570</v>
      </c>
      <c r="AH20" s="13">
        <f t="shared" si="13"/>
        <v>37273060</v>
      </c>
      <c r="AI20" s="13">
        <f t="shared" si="14"/>
        <v>5590959</v>
      </c>
      <c r="AJ20" s="13">
        <f t="shared" si="15"/>
        <v>55909589</v>
      </c>
      <c r="AK20" s="13">
        <f t="shared" si="16"/>
        <v>0</v>
      </c>
      <c r="AL20" s="13">
        <f t="shared" si="17"/>
        <v>13045570</v>
      </c>
      <c r="AM20" s="22">
        <f>Table1[[#This Row],[حقوق و مزایای مشمول و غیر مشمول بیمه]]-Table1[[#This Row],[جمع کسورات]]</f>
        <v>173319728.95224783</v>
      </c>
    </row>
    <row r="21" spans="1:39" s="24" customFormat="1" ht="21.6">
      <c r="A21" s="19">
        <v>19</v>
      </c>
      <c r="B21" s="13" t="s">
        <v>109</v>
      </c>
      <c r="C21" s="20"/>
      <c r="D21" s="20"/>
      <c r="E21" s="13">
        <v>3000000</v>
      </c>
      <c r="F21" s="13">
        <v>5</v>
      </c>
      <c r="G21" s="13">
        <f t="shared" si="0"/>
        <v>579958.51458863996</v>
      </c>
      <c r="H21" s="13"/>
      <c r="I21" s="13">
        <f>IF(Table1[[#This Row],[حقوق سال 1403]]=2388728,3463656,(Table1[[#This Row],[حقوق سال 1403]]*1.32+310535))</f>
        <v>4270535</v>
      </c>
      <c r="J21" s="13">
        <v>31</v>
      </c>
      <c r="K21" s="13">
        <v>31</v>
      </c>
      <c r="L21" s="13">
        <f>Table1[[#This Row],[حقوق روزانه سال 1404]]*Table1[[#This Row],[روزهای کارکرد فرد]]</f>
        <v>132386585</v>
      </c>
      <c r="M21" s="13">
        <f>(Table1[[#This Row],[پایه سنوات روزانه تا پایان 30 اسفند 1403
با احتساب افزایش حقوق 1404]]+Table1[[#This Row],[پایه سنوات سال 1404]])*Table1[[#This Row],[روزهای کارکرد فرد]]</f>
        <v>17978713.952247839</v>
      </c>
      <c r="N21" s="13" t="s">
        <v>35</v>
      </c>
      <c r="O21" s="13">
        <f t="shared" si="8"/>
        <v>5000000</v>
      </c>
      <c r="P21" s="13"/>
      <c r="Q21" s="13">
        <f>(((3463656*P21)*3)/Table1[[#This Row],[تعداد روزهای ماه]]*Table1[[#This Row],[روزهای کارکرد فرد]])</f>
        <v>0</v>
      </c>
      <c r="R21" s="13">
        <f>MIN(9000000,((9000000/30)*Table1[[#This Row],[روزهای کارکرد فرد]]))</f>
        <v>9000000</v>
      </c>
      <c r="S21" s="13">
        <f>MIN(22000000,((22000000/30)*Table1[[#This Row],[روزهای کارکرد فرد]]))</f>
        <v>22000000</v>
      </c>
      <c r="T21" s="13">
        <f>Table1[[#This Row],[خواربار]]+Table1[[#This Row],[مسکن]]+Table1[[#This Row],[حق تاهل ]]</f>
        <v>36000000</v>
      </c>
      <c r="U21" s="21"/>
      <c r="V21" s="13">
        <f t="shared" si="9"/>
        <v>0</v>
      </c>
      <c r="W21" s="13">
        <f t="shared" si="10"/>
        <v>0</v>
      </c>
      <c r="X21" s="13">
        <f>((Table1[[#This Row],[حقوق روزانه سال 1404]]*30)/366)*Table1[[#This Row],[تعداد روز کارکرد از ابتدای سال تا امروز (جهت محاسبه عیدی)]]</f>
        <v>0</v>
      </c>
      <c r="Y21" s="13"/>
      <c r="Z21" s="13">
        <f t="shared" si="11"/>
        <v>0</v>
      </c>
      <c r="AA21" s="13">
        <f>IF(Table1[[#This Row],[اضافه کار ]]&lt;10,Table1[[#This Row],[اضافه کار ]],10)</f>
        <v>0</v>
      </c>
      <c r="AB21" s="13">
        <v>0</v>
      </c>
      <c r="AC21" s="13">
        <v>0</v>
      </c>
      <c r="AD21"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21" s="13">
        <f>L21+Q21+R21+AB21+AC21+Z21+S21+O21+Table1[[#This Row],[پایه سنوات ماهانه]]+Table1[[#This Row],[عيدي]]+Table1[[#This Row],[سنوات]]</f>
        <v>186365298.95224783</v>
      </c>
      <c r="AF21" s="13">
        <f>MAX((AC21+Z21+Table1[[#This Row],[پایه سنوات ماهانه]]+S21+R21+Q21+O21+L21-AG21),0)</f>
        <v>173319728.95224786</v>
      </c>
      <c r="AG21" s="13">
        <f t="shared" si="12"/>
        <v>13045570</v>
      </c>
      <c r="AH21" s="13">
        <f t="shared" si="13"/>
        <v>37273060</v>
      </c>
      <c r="AI21" s="13">
        <f t="shared" si="14"/>
        <v>5590959</v>
      </c>
      <c r="AJ21" s="13">
        <f t="shared" si="15"/>
        <v>55909589</v>
      </c>
      <c r="AK21" s="13">
        <f t="shared" si="16"/>
        <v>0</v>
      </c>
      <c r="AL21" s="13">
        <f t="shared" si="17"/>
        <v>13045570</v>
      </c>
      <c r="AM21" s="22">
        <f>Table1[[#This Row],[حقوق و مزایای مشمول و غیر مشمول بیمه]]-Table1[[#This Row],[جمع کسورات]]</f>
        <v>173319728.95224783</v>
      </c>
    </row>
    <row r="22" spans="1:39" s="24" customFormat="1" ht="21.6">
      <c r="A22" s="19">
        <v>20</v>
      </c>
      <c r="B22" s="13" t="s">
        <v>110</v>
      </c>
      <c r="C22" s="20"/>
      <c r="D22" s="20"/>
      <c r="E22" s="13">
        <v>3000000</v>
      </c>
      <c r="F22" s="13">
        <v>5</v>
      </c>
      <c r="G22" s="13">
        <f t="shared" si="0"/>
        <v>579958.51458863996</v>
      </c>
      <c r="H22" s="13"/>
      <c r="I22" s="13">
        <f>IF(Table1[[#This Row],[حقوق سال 1403]]=2388728,3463656,(Table1[[#This Row],[حقوق سال 1403]]*1.32+310535))</f>
        <v>4270535</v>
      </c>
      <c r="J22" s="13">
        <v>31</v>
      </c>
      <c r="K22" s="13">
        <v>31</v>
      </c>
      <c r="L22" s="13">
        <f>Table1[[#This Row],[حقوق روزانه سال 1404]]*Table1[[#This Row],[روزهای کارکرد فرد]]</f>
        <v>132386585</v>
      </c>
      <c r="M22" s="13">
        <f>(Table1[[#This Row],[پایه سنوات روزانه تا پایان 30 اسفند 1403
با احتساب افزایش حقوق 1404]]+Table1[[#This Row],[پایه سنوات سال 1404]])*Table1[[#This Row],[روزهای کارکرد فرد]]</f>
        <v>17978713.952247839</v>
      </c>
      <c r="N22" s="13" t="s">
        <v>35</v>
      </c>
      <c r="O22" s="13">
        <f t="shared" si="8"/>
        <v>5000000</v>
      </c>
      <c r="P22" s="13"/>
      <c r="Q22" s="13">
        <f>(((3463656*P22)*3)/Table1[[#This Row],[تعداد روزهای ماه]]*Table1[[#This Row],[روزهای کارکرد فرد]])</f>
        <v>0</v>
      </c>
      <c r="R22" s="13">
        <f>MIN(9000000,((9000000/30)*Table1[[#This Row],[روزهای کارکرد فرد]]))</f>
        <v>9000000</v>
      </c>
      <c r="S22" s="13">
        <f>MIN(22000000,((22000000/30)*Table1[[#This Row],[روزهای کارکرد فرد]]))</f>
        <v>22000000</v>
      </c>
      <c r="T22" s="13">
        <f>Table1[[#This Row],[خواربار]]+Table1[[#This Row],[مسکن]]+Table1[[#This Row],[حق تاهل ]]</f>
        <v>36000000</v>
      </c>
      <c r="U22" s="21"/>
      <c r="V22" s="13">
        <f t="shared" si="9"/>
        <v>0</v>
      </c>
      <c r="W22" s="13">
        <f t="shared" si="10"/>
        <v>0</v>
      </c>
      <c r="X22" s="13">
        <f>((Table1[[#This Row],[حقوق روزانه سال 1404]]*30)/366)*Table1[[#This Row],[تعداد روز کارکرد از ابتدای سال تا امروز (جهت محاسبه عیدی)]]</f>
        <v>0</v>
      </c>
      <c r="Y22" s="13"/>
      <c r="Z22" s="13">
        <f t="shared" si="11"/>
        <v>0</v>
      </c>
      <c r="AA22" s="13">
        <f>IF(Table1[[#This Row],[اضافه کار ]]&lt;10,Table1[[#This Row],[اضافه کار ]],10)</f>
        <v>0</v>
      </c>
      <c r="AB22" s="13">
        <v>0</v>
      </c>
      <c r="AC22" s="13">
        <v>0</v>
      </c>
      <c r="AD22"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22" s="13">
        <f>L22+Q22+R22+AB22+AC22+Z22+S22+O22+Table1[[#This Row],[پایه سنوات ماهانه]]+Table1[[#This Row],[عيدي]]+Table1[[#This Row],[سنوات]]</f>
        <v>186365298.95224783</v>
      </c>
      <c r="AF22" s="13">
        <f>MAX((AC22+Z22+Table1[[#This Row],[پایه سنوات ماهانه]]+S22+R22+Q22+O22+L22-AG22),0)</f>
        <v>173319728.95224786</v>
      </c>
      <c r="AG22" s="13">
        <f t="shared" si="12"/>
        <v>13045570</v>
      </c>
      <c r="AH22" s="13">
        <f t="shared" si="13"/>
        <v>37273060</v>
      </c>
      <c r="AI22" s="13">
        <f t="shared" si="14"/>
        <v>5590959</v>
      </c>
      <c r="AJ22" s="13">
        <f t="shared" si="15"/>
        <v>55909589</v>
      </c>
      <c r="AK22" s="13">
        <f t="shared" si="16"/>
        <v>0</v>
      </c>
      <c r="AL22" s="13">
        <f t="shared" si="17"/>
        <v>13045570</v>
      </c>
      <c r="AM22" s="22">
        <f>Table1[[#This Row],[حقوق و مزایای مشمول و غیر مشمول بیمه]]-Table1[[#This Row],[جمع کسورات]]</f>
        <v>173319728.95224783</v>
      </c>
    </row>
    <row r="23" spans="1:39" s="24" customFormat="1" ht="21.6">
      <c r="A23" s="19">
        <v>21</v>
      </c>
      <c r="B23" s="13" t="s">
        <v>111</v>
      </c>
      <c r="C23" s="20"/>
      <c r="D23" s="20"/>
      <c r="E23" s="13">
        <v>3000000</v>
      </c>
      <c r="F23" s="13">
        <v>5</v>
      </c>
      <c r="G23" s="13">
        <f t="shared" si="0"/>
        <v>579958.51458863996</v>
      </c>
      <c r="H23" s="13"/>
      <c r="I23" s="13">
        <f>IF(Table1[[#This Row],[حقوق سال 1403]]=2388728,3463656,(Table1[[#This Row],[حقوق سال 1403]]*1.32+310535))</f>
        <v>4270535</v>
      </c>
      <c r="J23" s="13">
        <v>31</v>
      </c>
      <c r="K23" s="13">
        <v>31</v>
      </c>
      <c r="L23" s="13">
        <f>Table1[[#This Row],[حقوق روزانه سال 1404]]*Table1[[#This Row],[روزهای کارکرد فرد]]</f>
        <v>132386585</v>
      </c>
      <c r="M23" s="13">
        <f>(Table1[[#This Row],[پایه سنوات روزانه تا پایان 30 اسفند 1403
با احتساب افزایش حقوق 1404]]+Table1[[#This Row],[پایه سنوات سال 1404]])*Table1[[#This Row],[روزهای کارکرد فرد]]</f>
        <v>17978713.952247839</v>
      </c>
      <c r="N23" s="13" t="s">
        <v>35</v>
      </c>
      <c r="O23" s="13">
        <f t="shared" si="8"/>
        <v>5000000</v>
      </c>
      <c r="P23" s="13"/>
      <c r="Q23" s="13">
        <f>(((3463656*P23)*3)/Table1[[#This Row],[تعداد روزهای ماه]]*Table1[[#This Row],[روزهای کارکرد فرد]])</f>
        <v>0</v>
      </c>
      <c r="R23" s="13">
        <f>MIN(9000000,((9000000/30)*Table1[[#This Row],[روزهای کارکرد فرد]]))</f>
        <v>9000000</v>
      </c>
      <c r="S23" s="13">
        <f>MIN(22000000,((22000000/30)*Table1[[#This Row],[روزهای کارکرد فرد]]))</f>
        <v>22000000</v>
      </c>
      <c r="T23" s="13">
        <f>Table1[[#This Row],[خواربار]]+Table1[[#This Row],[مسکن]]+Table1[[#This Row],[حق تاهل ]]</f>
        <v>36000000</v>
      </c>
      <c r="U23" s="21"/>
      <c r="V23" s="13">
        <f t="shared" si="9"/>
        <v>0</v>
      </c>
      <c r="W23" s="13">
        <f t="shared" si="10"/>
        <v>0</v>
      </c>
      <c r="X23" s="13">
        <f>((Table1[[#This Row],[حقوق روزانه سال 1404]]*30)/366)*Table1[[#This Row],[تعداد روز کارکرد از ابتدای سال تا امروز (جهت محاسبه عیدی)]]</f>
        <v>0</v>
      </c>
      <c r="Y23" s="13"/>
      <c r="Z23" s="13">
        <f t="shared" si="11"/>
        <v>0</v>
      </c>
      <c r="AA23" s="13">
        <f>IF(Table1[[#This Row],[اضافه کار ]]&lt;10,Table1[[#This Row],[اضافه کار ]],10)</f>
        <v>0</v>
      </c>
      <c r="AB23" s="13">
        <v>0</v>
      </c>
      <c r="AC23" s="13">
        <v>0</v>
      </c>
      <c r="AD23"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23" s="13">
        <f>L23+Q23+R23+AB23+AC23+Z23+S23+O23+Table1[[#This Row],[پایه سنوات ماهانه]]+Table1[[#This Row],[عيدي]]+Table1[[#This Row],[سنوات]]</f>
        <v>186365298.95224783</v>
      </c>
      <c r="AF23" s="13">
        <f>MAX((AC23+Z23+Table1[[#This Row],[پایه سنوات ماهانه]]+S23+R23+Q23+O23+L23-AG23),0)</f>
        <v>173319728.95224786</v>
      </c>
      <c r="AG23" s="13">
        <f t="shared" si="12"/>
        <v>13045570</v>
      </c>
      <c r="AH23" s="13">
        <f t="shared" si="13"/>
        <v>37273060</v>
      </c>
      <c r="AI23" s="13">
        <f t="shared" si="14"/>
        <v>5590959</v>
      </c>
      <c r="AJ23" s="13">
        <f t="shared" si="15"/>
        <v>55909589</v>
      </c>
      <c r="AK23" s="13">
        <f t="shared" si="16"/>
        <v>0</v>
      </c>
      <c r="AL23" s="13">
        <f t="shared" si="17"/>
        <v>13045570</v>
      </c>
      <c r="AM23" s="22">
        <f>Table1[[#This Row],[حقوق و مزایای مشمول و غیر مشمول بیمه]]-Table1[[#This Row],[جمع کسورات]]</f>
        <v>173319728.95224783</v>
      </c>
    </row>
    <row r="24" spans="1:39" s="24" customFormat="1" ht="21.6">
      <c r="A24" s="19">
        <v>22</v>
      </c>
      <c r="B24" s="13" t="s">
        <v>112</v>
      </c>
      <c r="C24" s="20"/>
      <c r="D24" s="20"/>
      <c r="E24" s="13">
        <v>3000000</v>
      </c>
      <c r="F24" s="13">
        <v>5</v>
      </c>
      <c r="G24" s="13">
        <f t="shared" si="0"/>
        <v>579958.51458863996</v>
      </c>
      <c r="H24" s="13"/>
      <c r="I24" s="13">
        <f>IF(Table1[[#This Row],[حقوق سال 1403]]=2388728,3463656,(Table1[[#This Row],[حقوق سال 1403]]*1.32+310535))</f>
        <v>4270535</v>
      </c>
      <c r="J24" s="13">
        <v>31</v>
      </c>
      <c r="K24" s="13">
        <v>31</v>
      </c>
      <c r="L24" s="13">
        <f>Table1[[#This Row],[حقوق روزانه سال 1404]]*Table1[[#This Row],[روزهای کارکرد فرد]]</f>
        <v>132386585</v>
      </c>
      <c r="M24" s="13">
        <f>(Table1[[#This Row],[پایه سنوات روزانه تا پایان 30 اسفند 1403
با احتساب افزایش حقوق 1404]]+Table1[[#This Row],[پایه سنوات سال 1404]])*Table1[[#This Row],[روزهای کارکرد فرد]]</f>
        <v>17978713.952247839</v>
      </c>
      <c r="N24" s="13" t="s">
        <v>35</v>
      </c>
      <c r="O24" s="13">
        <f t="shared" si="8"/>
        <v>5000000</v>
      </c>
      <c r="P24" s="13"/>
      <c r="Q24" s="13">
        <f>(((3463656*P24)*3)/Table1[[#This Row],[تعداد روزهای ماه]]*Table1[[#This Row],[روزهای کارکرد فرد]])</f>
        <v>0</v>
      </c>
      <c r="R24" s="13">
        <f>MIN(9000000,((9000000/30)*Table1[[#This Row],[روزهای کارکرد فرد]]))</f>
        <v>9000000</v>
      </c>
      <c r="S24" s="13">
        <f>MIN(22000000,((22000000/30)*Table1[[#This Row],[روزهای کارکرد فرد]]))</f>
        <v>22000000</v>
      </c>
      <c r="T24" s="13">
        <f>Table1[[#This Row],[خواربار]]+Table1[[#This Row],[مسکن]]+Table1[[#This Row],[حق تاهل ]]</f>
        <v>36000000</v>
      </c>
      <c r="U24" s="21"/>
      <c r="V24" s="13">
        <f t="shared" si="9"/>
        <v>0</v>
      </c>
      <c r="W24" s="13">
        <f t="shared" si="10"/>
        <v>0</v>
      </c>
      <c r="X24" s="13">
        <f>((Table1[[#This Row],[حقوق روزانه سال 1404]]*30)/366)*Table1[[#This Row],[تعداد روز کارکرد از ابتدای سال تا امروز (جهت محاسبه عیدی)]]</f>
        <v>0</v>
      </c>
      <c r="Y24" s="13"/>
      <c r="Z24" s="13">
        <f t="shared" si="11"/>
        <v>0</v>
      </c>
      <c r="AA24" s="13">
        <f>IF(Table1[[#This Row],[اضافه کار ]]&lt;10,Table1[[#This Row],[اضافه کار ]],10)</f>
        <v>0</v>
      </c>
      <c r="AB24" s="13">
        <v>0</v>
      </c>
      <c r="AC24" s="13">
        <v>0</v>
      </c>
      <c r="AD24"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24" s="13">
        <f>L24+Q24+R24+AB24+AC24+Z24+S24+O24+Table1[[#This Row],[پایه سنوات ماهانه]]+Table1[[#This Row],[عيدي]]+Table1[[#This Row],[سنوات]]</f>
        <v>186365298.95224783</v>
      </c>
      <c r="AF24" s="13">
        <f>MAX((AC24+Z24+Table1[[#This Row],[پایه سنوات ماهانه]]+S24+R24+Q24+O24+L24-AG24),0)</f>
        <v>173319728.95224786</v>
      </c>
      <c r="AG24" s="13">
        <f t="shared" si="12"/>
        <v>13045570</v>
      </c>
      <c r="AH24" s="13">
        <f t="shared" si="13"/>
        <v>37273060</v>
      </c>
      <c r="AI24" s="13">
        <f t="shared" si="14"/>
        <v>5590959</v>
      </c>
      <c r="AJ24" s="13">
        <f t="shared" si="15"/>
        <v>55909589</v>
      </c>
      <c r="AK24" s="13">
        <f t="shared" si="16"/>
        <v>0</v>
      </c>
      <c r="AL24" s="13">
        <f t="shared" si="17"/>
        <v>13045570</v>
      </c>
      <c r="AM24" s="22">
        <f>Table1[[#This Row],[حقوق و مزایای مشمول و غیر مشمول بیمه]]-Table1[[#This Row],[جمع کسورات]]</f>
        <v>173319728.95224783</v>
      </c>
    </row>
    <row r="25" spans="1:39" s="24" customFormat="1" ht="21.6">
      <c r="A25" s="19">
        <v>23</v>
      </c>
      <c r="B25" s="13" t="s">
        <v>113</v>
      </c>
      <c r="C25" s="20"/>
      <c r="D25" s="20"/>
      <c r="E25" s="13">
        <v>3000000</v>
      </c>
      <c r="F25" s="13">
        <v>5</v>
      </c>
      <c r="G25" s="13">
        <f t="shared" si="0"/>
        <v>579958.51458863996</v>
      </c>
      <c r="H25" s="13"/>
      <c r="I25" s="13">
        <f>IF(Table1[[#This Row],[حقوق سال 1403]]=2388728,3463656,(Table1[[#This Row],[حقوق سال 1403]]*1.32+310535))</f>
        <v>4270535</v>
      </c>
      <c r="J25" s="13">
        <v>31</v>
      </c>
      <c r="K25" s="13">
        <v>31</v>
      </c>
      <c r="L25" s="13">
        <f>Table1[[#This Row],[حقوق روزانه سال 1404]]*Table1[[#This Row],[روزهای کارکرد فرد]]</f>
        <v>132386585</v>
      </c>
      <c r="M25" s="13">
        <f>(Table1[[#This Row],[پایه سنوات روزانه تا پایان 30 اسفند 1403
با احتساب افزایش حقوق 1404]]+Table1[[#This Row],[پایه سنوات سال 1404]])*Table1[[#This Row],[روزهای کارکرد فرد]]</f>
        <v>17978713.952247839</v>
      </c>
      <c r="N25" s="13" t="s">
        <v>35</v>
      </c>
      <c r="O25" s="13">
        <f t="shared" si="8"/>
        <v>5000000</v>
      </c>
      <c r="P25" s="13"/>
      <c r="Q25" s="13">
        <f>(((3463656*P25)*3)/Table1[[#This Row],[تعداد روزهای ماه]]*Table1[[#This Row],[روزهای کارکرد فرد]])</f>
        <v>0</v>
      </c>
      <c r="R25" s="13">
        <f>MIN(9000000,((9000000/30)*Table1[[#This Row],[روزهای کارکرد فرد]]))</f>
        <v>9000000</v>
      </c>
      <c r="S25" s="13">
        <f>MIN(22000000,((22000000/30)*Table1[[#This Row],[روزهای کارکرد فرد]]))</f>
        <v>22000000</v>
      </c>
      <c r="T25" s="13">
        <f>Table1[[#This Row],[خواربار]]+Table1[[#This Row],[مسکن]]+Table1[[#This Row],[حق تاهل ]]</f>
        <v>36000000</v>
      </c>
      <c r="U25" s="21"/>
      <c r="V25" s="13">
        <f t="shared" si="9"/>
        <v>0</v>
      </c>
      <c r="W25" s="13">
        <f t="shared" si="10"/>
        <v>0</v>
      </c>
      <c r="X25" s="13">
        <f>((Table1[[#This Row],[حقوق روزانه سال 1404]]*30)/366)*Table1[[#This Row],[تعداد روز کارکرد از ابتدای سال تا امروز (جهت محاسبه عیدی)]]</f>
        <v>0</v>
      </c>
      <c r="Y25" s="13"/>
      <c r="Z25" s="13">
        <f t="shared" si="11"/>
        <v>0</v>
      </c>
      <c r="AA25" s="13">
        <f>IF(Table1[[#This Row],[اضافه کار ]]&lt;10,Table1[[#This Row],[اضافه کار ]],10)</f>
        <v>0</v>
      </c>
      <c r="AB25" s="13">
        <v>0</v>
      </c>
      <c r="AC25" s="13">
        <v>0</v>
      </c>
      <c r="AD25"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25" s="13">
        <f>L25+Q25+R25+AB25+AC25+Z25+S25+O25+Table1[[#This Row],[پایه سنوات ماهانه]]+Table1[[#This Row],[عيدي]]+Table1[[#This Row],[سنوات]]</f>
        <v>186365298.95224783</v>
      </c>
      <c r="AF25" s="13">
        <f>MAX((AC25+Z25+Table1[[#This Row],[پایه سنوات ماهانه]]+S25+R25+Q25+O25+L25-AG25),0)</f>
        <v>173319728.95224786</v>
      </c>
      <c r="AG25" s="13">
        <f t="shared" si="12"/>
        <v>13045570</v>
      </c>
      <c r="AH25" s="13">
        <f t="shared" si="13"/>
        <v>37273060</v>
      </c>
      <c r="AI25" s="13">
        <f t="shared" si="14"/>
        <v>5590959</v>
      </c>
      <c r="AJ25" s="13">
        <f t="shared" si="15"/>
        <v>55909589</v>
      </c>
      <c r="AK25" s="13">
        <f t="shared" si="16"/>
        <v>0</v>
      </c>
      <c r="AL25" s="13">
        <f t="shared" si="17"/>
        <v>13045570</v>
      </c>
      <c r="AM25" s="22">
        <f>Table1[[#This Row],[حقوق و مزایای مشمول و غیر مشمول بیمه]]-Table1[[#This Row],[جمع کسورات]]</f>
        <v>173319728.95224783</v>
      </c>
    </row>
    <row r="26" spans="1:39" s="24" customFormat="1" ht="21.6">
      <c r="A26" s="19">
        <v>24</v>
      </c>
      <c r="B26" s="13" t="s">
        <v>114</v>
      </c>
      <c r="C26" s="20"/>
      <c r="D26" s="20"/>
      <c r="E26" s="13">
        <v>3000000</v>
      </c>
      <c r="F26" s="13">
        <v>5</v>
      </c>
      <c r="G26" s="13">
        <f t="shared" si="0"/>
        <v>579958.51458863996</v>
      </c>
      <c r="H26" s="13"/>
      <c r="I26" s="13">
        <f>IF(Table1[[#This Row],[حقوق سال 1403]]=2388728,3463656,(Table1[[#This Row],[حقوق سال 1403]]*1.32+310535))</f>
        <v>4270535</v>
      </c>
      <c r="J26" s="13">
        <v>31</v>
      </c>
      <c r="K26" s="13">
        <v>31</v>
      </c>
      <c r="L26" s="13">
        <f>Table1[[#This Row],[حقوق روزانه سال 1404]]*Table1[[#This Row],[روزهای کارکرد فرد]]</f>
        <v>132386585</v>
      </c>
      <c r="M26" s="13">
        <f>(Table1[[#This Row],[پایه سنوات روزانه تا پایان 30 اسفند 1403
با احتساب افزایش حقوق 1404]]+Table1[[#This Row],[پایه سنوات سال 1404]])*Table1[[#This Row],[روزهای کارکرد فرد]]</f>
        <v>17978713.952247839</v>
      </c>
      <c r="N26" s="13" t="s">
        <v>35</v>
      </c>
      <c r="O26" s="13">
        <f t="shared" si="8"/>
        <v>5000000</v>
      </c>
      <c r="P26" s="13"/>
      <c r="Q26" s="13">
        <f>(((3463656*P26)*3)/Table1[[#This Row],[تعداد روزهای ماه]]*Table1[[#This Row],[روزهای کارکرد فرد]])</f>
        <v>0</v>
      </c>
      <c r="R26" s="13">
        <f>MIN(9000000,((9000000/30)*Table1[[#This Row],[روزهای کارکرد فرد]]))</f>
        <v>9000000</v>
      </c>
      <c r="S26" s="13">
        <f>MIN(22000000,((22000000/30)*Table1[[#This Row],[روزهای کارکرد فرد]]))</f>
        <v>22000000</v>
      </c>
      <c r="T26" s="13">
        <f>Table1[[#This Row],[خواربار]]+Table1[[#This Row],[مسکن]]+Table1[[#This Row],[حق تاهل ]]</f>
        <v>36000000</v>
      </c>
      <c r="U26" s="21"/>
      <c r="V26" s="13">
        <f t="shared" si="9"/>
        <v>0</v>
      </c>
      <c r="W26" s="13">
        <f t="shared" si="10"/>
        <v>0</v>
      </c>
      <c r="X26" s="13">
        <f>((Table1[[#This Row],[حقوق روزانه سال 1404]]*30)/366)*Table1[[#This Row],[تعداد روز کارکرد از ابتدای سال تا امروز (جهت محاسبه عیدی)]]</f>
        <v>0</v>
      </c>
      <c r="Y26" s="13"/>
      <c r="Z26" s="13">
        <f t="shared" si="11"/>
        <v>0</v>
      </c>
      <c r="AA26" s="13">
        <f>IF(Table1[[#This Row],[اضافه کار ]]&lt;10,Table1[[#This Row],[اضافه کار ]],10)</f>
        <v>0</v>
      </c>
      <c r="AB26" s="13">
        <v>0</v>
      </c>
      <c r="AC26" s="13">
        <v>0</v>
      </c>
      <c r="AD26"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26" s="13">
        <f>L26+Q26+R26+AB26+AC26+Z26+S26+O26+Table1[[#This Row],[پایه سنوات ماهانه]]+Table1[[#This Row],[عيدي]]+Table1[[#This Row],[سنوات]]</f>
        <v>186365298.95224783</v>
      </c>
      <c r="AF26" s="13">
        <f>MAX((AC26+Z26+Table1[[#This Row],[پایه سنوات ماهانه]]+S26+R26+Q26+O26+L26-AG26),0)</f>
        <v>173319728.95224786</v>
      </c>
      <c r="AG26" s="13">
        <f t="shared" si="12"/>
        <v>13045570</v>
      </c>
      <c r="AH26" s="13">
        <f t="shared" si="13"/>
        <v>37273060</v>
      </c>
      <c r="AI26" s="13">
        <f t="shared" si="14"/>
        <v>5590959</v>
      </c>
      <c r="AJ26" s="13">
        <f t="shared" si="15"/>
        <v>55909589</v>
      </c>
      <c r="AK26" s="13">
        <f t="shared" si="16"/>
        <v>0</v>
      </c>
      <c r="AL26" s="13">
        <f t="shared" si="17"/>
        <v>13045570</v>
      </c>
      <c r="AM26" s="22">
        <f>Table1[[#This Row],[حقوق و مزایای مشمول و غیر مشمول بیمه]]-Table1[[#This Row],[جمع کسورات]]</f>
        <v>173319728.95224783</v>
      </c>
    </row>
    <row r="27" spans="1:39" s="24" customFormat="1" ht="21.6">
      <c r="A27" s="19">
        <v>25</v>
      </c>
      <c r="B27" s="13" t="s">
        <v>115</v>
      </c>
      <c r="C27" s="20"/>
      <c r="D27" s="20"/>
      <c r="E27" s="13">
        <v>3000000</v>
      </c>
      <c r="F27" s="13">
        <v>5</v>
      </c>
      <c r="G27" s="13">
        <f t="shared" si="0"/>
        <v>579958.51458863996</v>
      </c>
      <c r="H27" s="13"/>
      <c r="I27" s="13">
        <f>IF(Table1[[#This Row],[حقوق سال 1403]]=2388728,3463656,(Table1[[#This Row],[حقوق سال 1403]]*1.32+310535))</f>
        <v>4270535</v>
      </c>
      <c r="J27" s="13">
        <v>31</v>
      </c>
      <c r="K27" s="13">
        <v>31</v>
      </c>
      <c r="L27" s="13">
        <f>Table1[[#This Row],[حقوق روزانه سال 1404]]*Table1[[#This Row],[روزهای کارکرد فرد]]</f>
        <v>132386585</v>
      </c>
      <c r="M27" s="13">
        <f>(Table1[[#This Row],[پایه سنوات روزانه تا پایان 30 اسفند 1403
با احتساب افزایش حقوق 1404]]+Table1[[#This Row],[پایه سنوات سال 1404]])*Table1[[#This Row],[روزهای کارکرد فرد]]</f>
        <v>17978713.952247839</v>
      </c>
      <c r="N27" s="13" t="s">
        <v>35</v>
      </c>
      <c r="O27" s="13">
        <f t="shared" si="8"/>
        <v>5000000</v>
      </c>
      <c r="P27" s="13"/>
      <c r="Q27" s="13">
        <f>(((3463656*P27)*3)/Table1[[#This Row],[تعداد روزهای ماه]]*Table1[[#This Row],[روزهای کارکرد فرد]])</f>
        <v>0</v>
      </c>
      <c r="R27" s="13">
        <f>MIN(9000000,((9000000/30)*Table1[[#This Row],[روزهای کارکرد فرد]]))</f>
        <v>9000000</v>
      </c>
      <c r="S27" s="13">
        <f>MIN(22000000,((22000000/30)*Table1[[#This Row],[روزهای کارکرد فرد]]))</f>
        <v>22000000</v>
      </c>
      <c r="T27" s="13">
        <f>Table1[[#This Row],[خواربار]]+Table1[[#This Row],[مسکن]]+Table1[[#This Row],[حق تاهل ]]</f>
        <v>36000000</v>
      </c>
      <c r="U27" s="21"/>
      <c r="V27" s="13">
        <f t="shared" si="9"/>
        <v>0</v>
      </c>
      <c r="W27" s="13">
        <f t="shared" si="10"/>
        <v>0</v>
      </c>
      <c r="X27" s="13">
        <f>((Table1[[#This Row],[حقوق روزانه سال 1404]]*30)/366)*Table1[[#This Row],[تعداد روز کارکرد از ابتدای سال تا امروز (جهت محاسبه عیدی)]]</f>
        <v>0</v>
      </c>
      <c r="Y27" s="13"/>
      <c r="Z27" s="13">
        <f t="shared" si="11"/>
        <v>0</v>
      </c>
      <c r="AA27" s="13">
        <f>IF(Table1[[#This Row],[اضافه کار ]]&lt;10,Table1[[#This Row],[اضافه کار ]],10)</f>
        <v>0</v>
      </c>
      <c r="AB27" s="13">
        <v>0</v>
      </c>
      <c r="AC27" s="13">
        <v>0</v>
      </c>
      <c r="AD27"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27" s="13">
        <f>L27+Q27+R27+AB27+AC27+Z27+S27+O27+Table1[[#This Row],[پایه سنوات ماهانه]]+Table1[[#This Row],[عيدي]]+Table1[[#This Row],[سنوات]]</f>
        <v>186365298.95224783</v>
      </c>
      <c r="AF27" s="13">
        <f>MAX((AC27+Z27+Table1[[#This Row],[پایه سنوات ماهانه]]+S27+R27+Q27+O27+L27-AG27),0)</f>
        <v>173319728.95224786</v>
      </c>
      <c r="AG27" s="13">
        <f t="shared" si="12"/>
        <v>13045570</v>
      </c>
      <c r="AH27" s="13">
        <f t="shared" si="13"/>
        <v>37273060</v>
      </c>
      <c r="AI27" s="13">
        <f t="shared" si="14"/>
        <v>5590959</v>
      </c>
      <c r="AJ27" s="13">
        <f t="shared" si="15"/>
        <v>55909589</v>
      </c>
      <c r="AK27" s="13">
        <f t="shared" si="16"/>
        <v>0</v>
      </c>
      <c r="AL27" s="13">
        <f t="shared" si="17"/>
        <v>13045570</v>
      </c>
      <c r="AM27" s="22">
        <f>Table1[[#This Row],[حقوق و مزایای مشمول و غیر مشمول بیمه]]-Table1[[#This Row],[جمع کسورات]]</f>
        <v>173319728.95224783</v>
      </c>
    </row>
    <row r="28" spans="1:39" s="24" customFormat="1" ht="21.6">
      <c r="A28" s="19">
        <v>26</v>
      </c>
      <c r="B28" s="13" t="s">
        <v>116</v>
      </c>
      <c r="C28" s="20"/>
      <c r="D28" s="20"/>
      <c r="E28" s="13">
        <v>3000000</v>
      </c>
      <c r="F28" s="13">
        <v>5</v>
      </c>
      <c r="G28" s="13">
        <f t="shared" si="0"/>
        <v>579958.51458863996</v>
      </c>
      <c r="H28" s="13"/>
      <c r="I28" s="13">
        <f>IF(Table1[[#This Row],[حقوق سال 1403]]=2388728,3463656,(Table1[[#This Row],[حقوق سال 1403]]*1.32+310535))</f>
        <v>4270535</v>
      </c>
      <c r="J28" s="13">
        <v>31</v>
      </c>
      <c r="K28" s="13">
        <v>31</v>
      </c>
      <c r="L28" s="13">
        <f>Table1[[#This Row],[حقوق روزانه سال 1404]]*Table1[[#This Row],[روزهای کارکرد فرد]]</f>
        <v>132386585</v>
      </c>
      <c r="M28" s="13">
        <f>(Table1[[#This Row],[پایه سنوات روزانه تا پایان 30 اسفند 1403
با احتساب افزایش حقوق 1404]]+Table1[[#This Row],[پایه سنوات سال 1404]])*Table1[[#This Row],[روزهای کارکرد فرد]]</f>
        <v>17978713.952247839</v>
      </c>
      <c r="N28" s="13" t="s">
        <v>35</v>
      </c>
      <c r="O28" s="13">
        <f t="shared" si="8"/>
        <v>5000000</v>
      </c>
      <c r="P28" s="13"/>
      <c r="Q28" s="13">
        <f>(((3463656*P28)*3)/Table1[[#This Row],[تعداد روزهای ماه]]*Table1[[#This Row],[روزهای کارکرد فرد]])</f>
        <v>0</v>
      </c>
      <c r="R28" s="13">
        <f>MIN(9000000,((9000000/30)*Table1[[#This Row],[روزهای کارکرد فرد]]))</f>
        <v>9000000</v>
      </c>
      <c r="S28" s="13">
        <f>MIN(22000000,((22000000/30)*Table1[[#This Row],[روزهای کارکرد فرد]]))</f>
        <v>22000000</v>
      </c>
      <c r="T28" s="13">
        <f>Table1[[#This Row],[خواربار]]+Table1[[#This Row],[مسکن]]+Table1[[#This Row],[حق تاهل ]]</f>
        <v>36000000</v>
      </c>
      <c r="U28" s="21"/>
      <c r="V28" s="13">
        <f t="shared" si="9"/>
        <v>0</v>
      </c>
      <c r="W28" s="13">
        <f t="shared" si="10"/>
        <v>0</v>
      </c>
      <c r="X28" s="13">
        <f>((Table1[[#This Row],[حقوق روزانه سال 1404]]*30)/366)*Table1[[#This Row],[تعداد روز کارکرد از ابتدای سال تا امروز (جهت محاسبه عیدی)]]</f>
        <v>0</v>
      </c>
      <c r="Y28" s="13"/>
      <c r="Z28" s="13">
        <f t="shared" si="11"/>
        <v>0</v>
      </c>
      <c r="AA28" s="13">
        <f>IF(Table1[[#This Row],[اضافه کار ]]&lt;10,Table1[[#This Row],[اضافه کار ]],10)</f>
        <v>0</v>
      </c>
      <c r="AB28" s="13">
        <v>0</v>
      </c>
      <c r="AC28" s="13">
        <v>0</v>
      </c>
      <c r="AD28"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28" s="13">
        <f>L28+Q28+R28+AB28+AC28+Z28+S28+O28+Table1[[#This Row],[پایه سنوات ماهانه]]+Table1[[#This Row],[عيدي]]+Table1[[#This Row],[سنوات]]</f>
        <v>186365298.95224783</v>
      </c>
      <c r="AF28" s="13">
        <f>MAX((AC28+Z28+Table1[[#This Row],[پایه سنوات ماهانه]]+S28+R28+Q28+O28+L28-AG28),0)</f>
        <v>173319728.95224786</v>
      </c>
      <c r="AG28" s="13">
        <f t="shared" si="12"/>
        <v>13045570</v>
      </c>
      <c r="AH28" s="13">
        <f t="shared" si="13"/>
        <v>37273060</v>
      </c>
      <c r="AI28" s="13">
        <f t="shared" si="14"/>
        <v>5590959</v>
      </c>
      <c r="AJ28" s="13">
        <f t="shared" si="15"/>
        <v>55909589</v>
      </c>
      <c r="AK28" s="13">
        <f t="shared" si="16"/>
        <v>0</v>
      </c>
      <c r="AL28" s="13">
        <f t="shared" si="17"/>
        <v>13045570</v>
      </c>
      <c r="AM28" s="22">
        <f>Table1[[#This Row],[حقوق و مزایای مشمول و غیر مشمول بیمه]]-Table1[[#This Row],[جمع کسورات]]</f>
        <v>173319728.95224783</v>
      </c>
    </row>
    <row r="29" spans="1:39" s="24" customFormat="1" ht="21.6">
      <c r="A29" s="19">
        <v>27</v>
      </c>
      <c r="B29" s="13" t="s">
        <v>117</v>
      </c>
      <c r="C29" s="20"/>
      <c r="D29" s="20"/>
      <c r="E29" s="13">
        <v>3000000</v>
      </c>
      <c r="F29" s="13">
        <v>5</v>
      </c>
      <c r="G29" s="13">
        <f t="shared" si="0"/>
        <v>579958.51458863996</v>
      </c>
      <c r="H29" s="13"/>
      <c r="I29" s="13">
        <f>IF(Table1[[#This Row],[حقوق سال 1403]]=2388728,3463656,(Table1[[#This Row],[حقوق سال 1403]]*1.32+310535))</f>
        <v>4270535</v>
      </c>
      <c r="J29" s="13">
        <v>31</v>
      </c>
      <c r="K29" s="13">
        <v>31</v>
      </c>
      <c r="L29" s="13">
        <f>Table1[[#This Row],[حقوق روزانه سال 1404]]*Table1[[#This Row],[روزهای کارکرد فرد]]</f>
        <v>132386585</v>
      </c>
      <c r="M29" s="13">
        <f>(Table1[[#This Row],[پایه سنوات روزانه تا پایان 30 اسفند 1403
با احتساب افزایش حقوق 1404]]+Table1[[#This Row],[پایه سنوات سال 1404]])*Table1[[#This Row],[روزهای کارکرد فرد]]</f>
        <v>17978713.952247839</v>
      </c>
      <c r="N29" s="13" t="s">
        <v>35</v>
      </c>
      <c r="O29" s="13">
        <f t="shared" si="8"/>
        <v>5000000</v>
      </c>
      <c r="P29" s="13"/>
      <c r="Q29" s="13">
        <f>(((3463656*P29)*3)/Table1[[#This Row],[تعداد روزهای ماه]]*Table1[[#This Row],[روزهای کارکرد فرد]])</f>
        <v>0</v>
      </c>
      <c r="R29" s="13">
        <f>MIN(9000000,((9000000/30)*Table1[[#This Row],[روزهای کارکرد فرد]]))</f>
        <v>9000000</v>
      </c>
      <c r="S29" s="13">
        <f>MIN(22000000,((22000000/30)*Table1[[#This Row],[روزهای کارکرد فرد]]))</f>
        <v>22000000</v>
      </c>
      <c r="T29" s="13">
        <f>Table1[[#This Row],[خواربار]]+Table1[[#This Row],[مسکن]]+Table1[[#This Row],[حق تاهل ]]</f>
        <v>36000000</v>
      </c>
      <c r="U29" s="21"/>
      <c r="V29" s="13">
        <f t="shared" si="9"/>
        <v>0</v>
      </c>
      <c r="W29" s="13">
        <f t="shared" si="10"/>
        <v>0</v>
      </c>
      <c r="X29" s="13">
        <f>((Table1[[#This Row],[حقوق روزانه سال 1404]]*30)/366)*Table1[[#This Row],[تعداد روز کارکرد از ابتدای سال تا امروز (جهت محاسبه عیدی)]]</f>
        <v>0</v>
      </c>
      <c r="Y29" s="13"/>
      <c r="Z29" s="13">
        <f t="shared" si="11"/>
        <v>0</v>
      </c>
      <c r="AA29" s="13">
        <f>IF(Table1[[#This Row],[اضافه کار ]]&lt;10,Table1[[#This Row],[اضافه کار ]],10)</f>
        <v>0</v>
      </c>
      <c r="AB29" s="13">
        <v>0</v>
      </c>
      <c r="AC29" s="13">
        <v>0</v>
      </c>
      <c r="AD29"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29" s="13">
        <f>L29+Q29+R29+AB29+AC29+Z29+S29+O29+Table1[[#This Row],[پایه سنوات ماهانه]]+Table1[[#This Row],[عيدي]]+Table1[[#This Row],[سنوات]]</f>
        <v>186365298.95224783</v>
      </c>
      <c r="AF29" s="13">
        <f>MAX((AC29+Z29+Table1[[#This Row],[پایه سنوات ماهانه]]+S29+R29+Q29+O29+L29-AG29),0)</f>
        <v>173319728.95224786</v>
      </c>
      <c r="AG29" s="13">
        <f t="shared" si="12"/>
        <v>13045570</v>
      </c>
      <c r="AH29" s="13">
        <f t="shared" si="13"/>
        <v>37273060</v>
      </c>
      <c r="AI29" s="13">
        <f t="shared" si="14"/>
        <v>5590959</v>
      </c>
      <c r="AJ29" s="13">
        <f t="shared" si="15"/>
        <v>55909589</v>
      </c>
      <c r="AK29" s="13">
        <f t="shared" si="16"/>
        <v>0</v>
      </c>
      <c r="AL29" s="13">
        <f t="shared" si="17"/>
        <v>13045570</v>
      </c>
      <c r="AM29" s="22">
        <f>Table1[[#This Row],[حقوق و مزایای مشمول و غیر مشمول بیمه]]-Table1[[#This Row],[جمع کسورات]]</f>
        <v>173319728.95224783</v>
      </c>
    </row>
    <row r="30" spans="1:39" s="24" customFormat="1" ht="21.6">
      <c r="A30" s="19">
        <v>28</v>
      </c>
      <c r="B30" s="13" t="s">
        <v>118</v>
      </c>
      <c r="C30" s="20"/>
      <c r="D30" s="20"/>
      <c r="E30" s="13">
        <v>3000000</v>
      </c>
      <c r="F30" s="13">
        <v>5</v>
      </c>
      <c r="G30" s="13">
        <f t="shared" si="0"/>
        <v>579958.51458863996</v>
      </c>
      <c r="H30" s="13"/>
      <c r="I30" s="13">
        <f>IF(Table1[[#This Row],[حقوق سال 1403]]=2388728,3463656,(Table1[[#This Row],[حقوق سال 1403]]*1.32+310535))</f>
        <v>4270535</v>
      </c>
      <c r="J30" s="13">
        <v>31</v>
      </c>
      <c r="K30" s="13">
        <v>31</v>
      </c>
      <c r="L30" s="13">
        <f>Table1[[#This Row],[حقوق روزانه سال 1404]]*Table1[[#This Row],[روزهای کارکرد فرد]]</f>
        <v>132386585</v>
      </c>
      <c r="M30" s="13">
        <f>(Table1[[#This Row],[پایه سنوات روزانه تا پایان 30 اسفند 1403
با احتساب افزایش حقوق 1404]]+Table1[[#This Row],[پایه سنوات سال 1404]])*Table1[[#This Row],[روزهای کارکرد فرد]]</f>
        <v>17978713.952247839</v>
      </c>
      <c r="N30" s="13" t="s">
        <v>35</v>
      </c>
      <c r="O30" s="13">
        <f t="shared" si="8"/>
        <v>5000000</v>
      </c>
      <c r="P30" s="13"/>
      <c r="Q30" s="13">
        <f>(((3463656*P30)*3)/Table1[[#This Row],[تعداد روزهای ماه]]*Table1[[#This Row],[روزهای کارکرد فرد]])</f>
        <v>0</v>
      </c>
      <c r="R30" s="13">
        <f>MIN(9000000,((9000000/30)*Table1[[#This Row],[روزهای کارکرد فرد]]))</f>
        <v>9000000</v>
      </c>
      <c r="S30" s="13">
        <f>MIN(22000000,((22000000/30)*Table1[[#This Row],[روزهای کارکرد فرد]]))</f>
        <v>22000000</v>
      </c>
      <c r="T30" s="13">
        <f>Table1[[#This Row],[خواربار]]+Table1[[#This Row],[مسکن]]+Table1[[#This Row],[حق تاهل ]]</f>
        <v>36000000</v>
      </c>
      <c r="U30" s="21"/>
      <c r="V30" s="13">
        <f t="shared" si="9"/>
        <v>0</v>
      </c>
      <c r="W30" s="13">
        <f t="shared" si="10"/>
        <v>0</v>
      </c>
      <c r="X30" s="13">
        <f>((Table1[[#This Row],[حقوق روزانه سال 1404]]*30)/366)*Table1[[#This Row],[تعداد روز کارکرد از ابتدای سال تا امروز (جهت محاسبه عیدی)]]</f>
        <v>0</v>
      </c>
      <c r="Y30" s="13"/>
      <c r="Z30" s="13">
        <f t="shared" si="11"/>
        <v>0</v>
      </c>
      <c r="AA30" s="13">
        <f>IF(Table1[[#This Row],[اضافه کار ]]&lt;10,Table1[[#This Row],[اضافه کار ]],10)</f>
        <v>0</v>
      </c>
      <c r="AB30" s="13">
        <v>0</v>
      </c>
      <c r="AC30" s="13">
        <v>0</v>
      </c>
      <c r="AD30"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30" s="13">
        <f>L30+Q30+R30+AB30+AC30+Z30+S30+O30+Table1[[#This Row],[پایه سنوات ماهانه]]+Table1[[#This Row],[عيدي]]+Table1[[#This Row],[سنوات]]</f>
        <v>186365298.95224783</v>
      </c>
      <c r="AF30" s="13">
        <f>MAX((AC30+Z30+Table1[[#This Row],[پایه سنوات ماهانه]]+S30+R30+Q30+O30+L30-AG30),0)</f>
        <v>173319728.95224786</v>
      </c>
      <c r="AG30" s="13">
        <f t="shared" si="12"/>
        <v>13045570</v>
      </c>
      <c r="AH30" s="13">
        <f t="shared" si="13"/>
        <v>37273060</v>
      </c>
      <c r="AI30" s="13">
        <f t="shared" si="14"/>
        <v>5590959</v>
      </c>
      <c r="AJ30" s="13">
        <f t="shared" si="15"/>
        <v>55909589</v>
      </c>
      <c r="AK30" s="13">
        <f t="shared" si="16"/>
        <v>0</v>
      </c>
      <c r="AL30" s="13">
        <f t="shared" si="17"/>
        <v>13045570</v>
      </c>
      <c r="AM30" s="22">
        <f>Table1[[#This Row],[حقوق و مزایای مشمول و غیر مشمول بیمه]]-Table1[[#This Row],[جمع کسورات]]</f>
        <v>173319728.95224783</v>
      </c>
    </row>
    <row r="31" spans="1:39" s="24" customFormat="1" ht="21.6">
      <c r="A31" s="19">
        <v>29</v>
      </c>
      <c r="B31" s="13" t="s">
        <v>119</v>
      </c>
      <c r="C31" s="20"/>
      <c r="D31" s="20"/>
      <c r="E31" s="13">
        <v>3000000</v>
      </c>
      <c r="F31" s="13">
        <v>5</v>
      </c>
      <c r="G31" s="13">
        <f t="shared" si="0"/>
        <v>579958.51458863996</v>
      </c>
      <c r="H31" s="13"/>
      <c r="I31" s="13">
        <f>IF(Table1[[#This Row],[حقوق سال 1403]]=2388728,3463656,(Table1[[#This Row],[حقوق سال 1403]]*1.32+310535))</f>
        <v>4270535</v>
      </c>
      <c r="J31" s="13">
        <v>31</v>
      </c>
      <c r="K31" s="13">
        <v>31</v>
      </c>
      <c r="L31" s="13">
        <f>Table1[[#This Row],[حقوق روزانه سال 1404]]*Table1[[#This Row],[روزهای کارکرد فرد]]</f>
        <v>132386585</v>
      </c>
      <c r="M31" s="13">
        <f>(Table1[[#This Row],[پایه سنوات روزانه تا پایان 30 اسفند 1403
با احتساب افزایش حقوق 1404]]+Table1[[#This Row],[پایه سنوات سال 1404]])*Table1[[#This Row],[روزهای کارکرد فرد]]</f>
        <v>17978713.952247839</v>
      </c>
      <c r="N31" s="13" t="s">
        <v>35</v>
      </c>
      <c r="O31" s="13">
        <f t="shared" si="8"/>
        <v>5000000</v>
      </c>
      <c r="P31" s="13"/>
      <c r="Q31" s="13">
        <f>(((3463656*P31)*3)/Table1[[#This Row],[تعداد روزهای ماه]]*Table1[[#This Row],[روزهای کارکرد فرد]])</f>
        <v>0</v>
      </c>
      <c r="R31" s="13">
        <f>MIN(9000000,((9000000/30)*Table1[[#This Row],[روزهای کارکرد فرد]]))</f>
        <v>9000000</v>
      </c>
      <c r="S31" s="13">
        <f>MIN(22000000,((22000000/30)*Table1[[#This Row],[روزهای کارکرد فرد]]))</f>
        <v>22000000</v>
      </c>
      <c r="T31" s="13">
        <f>Table1[[#This Row],[خواربار]]+Table1[[#This Row],[مسکن]]+Table1[[#This Row],[حق تاهل ]]</f>
        <v>36000000</v>
      </c>
      <c r="U31" s="21"/>
      <c r="V31" s="13">
        <f t="shared" si="9"/>
        <v>0</v>
      </c>
      <c r="W31" s="13">
        <f t="shared" si="10"/>
        <v>0</v>
      </c>
      <c r="X31" s="13">
        <f>((Table1[[#This Row],[حقوق روزانه سال 1404]]*30)/366)*Table1[[#This Row],[تعداد روز کارکرد از ابتدای سال تا امروز (جهت محاسبه عیدی)]]</f>
        <v>0</v>
      </c>
      <c r="Y31" s="13"/>
      <c r="Z31" s="13">
        <f t="shared" si="11"/>
        <v>0</v>
      </c>
      <c r="AA31" s="13">
        <f>IF(Table1[[#This Row],[اضافه کار ]]&lt;10,Table1[[#This Row],[اضافه کار ]],10)</f>
        <v>0</v>
      </c>
      <c r="AB31" s="13">
        <v>0</v>
      </c>
      <c r="AC31" s="13">
        <v>0</v>
      </c>
      <c r="AD31"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31" s="13">
        <f>L31+Q31+R31+AB31+AC31+Z31+S31+O31+Table1[[#This Row],[پایه سنوات ماهانه]]+Table1[[#This Row],[عيدي]]+Table1[[#This Row],[سنوات]]</f>
        <v>186365298.95224783</v>
      </c>
      <c r="AF31" s="13">
        <f>MAX((AC31+Z31+Table1[[#This Row],[پایه سنوات ماهانه]]+S31+R31+Q31+O31+L31-AG31),0)</f>
        <v>173319728.95224786</v>
      </c>
      <c r="AG31" s="13">
        <f t="shared" si="12"/>
        <v>13045570</v>
      </c>
      <c r="AH31" s="13">
        <f t="shared" si="13"/>
        <v>37273060</v>
      </c>
      <c r="AI31" s="13">
        <f t="shared" si="14"/>
        <v>5590959</v>
      </c>
      <c r="AJ31" s="13">
        <f t="shared" si="15"/>
        <v>55909589</v>
      </c>
      <c r="AK31" s="13">
        <f t="shared" si="16"/>
        <v>0</v>
      </c>
      <c r="AL31" s="13">
        <f t="shared" si="17"/>
        <v>13045570</v>
      </c>
      <c r="AM31" s="22">
        <f>Table1[[#This Row],[حقوق و مزایای مشمول و غیر مشمول بیمه]]-Table1[[#This Row],[جمع کسورات]]</f>
        <v>173319728.95224783</v>
      </c>
    </row>
    <row r="32" spans="1:39" s="24" customFormat="1" ht="21.6">
      <c r="A32" s="19">
        <v>30</v>
      </c>
      <c r="B32" s="13" t="s">
        <v>120</v>
      </c>
      <c r="C32" s="20"/>
      <c r="D32" s="20"/>
      <c r="E32" s="13">
        <v>3000000</v>
      </c>
      <c r="F32" s="13">
        <v>5</v>
      </c>
      <c r="G32" s="13">
        <f t="shared" si="0"/>
        <v>579958.51458863996</v>
      </c>
      <c r="H32" s="13"/>
      <c r="I32" s="13">
        <f>IF(Table1[[#This Row],[حقوق سال 1403]]=2388728,3463656,(Table1[[#This Row],[حقوق سال 1403]]*1.32+310535))</f>
        <v>4270535</v>
      </c>
      <c r="J32" s="13">
        <v>31</v>
      </c>
      <c r="K32" s="13">
        <v>31</v>
      </c>
      <c r="L32" s="13">
        <f>Table1[[#This Row],[حقوق روزانه سال 1404]]*Table1[[#This Row],[روزهای کارکرد فرد]]</f>
        <v>132386585</v>
      </c>
      <c r="M32" s="13">
        <f>(Table1[[#This Row],[پایه سنوات روزانه تا پایان 30 اسفند 1403
با احتساب افزایش حقوق 1404]]+Table1[[#This Row],[پایه سنوات سال 1404]])*Table1[[#This Row],[روزهای کارکرد فرد]]</f>
        <v>17978713.952247839</v>
      </c>
      <c r="N32" s="13" t="s">
        <v>35</v>
      </c>
      <c r="O32" s="13">
        <f t="shared" si="8"/>
        <v>5000000</v>
      </c>
      <c r="P32" s="13"/>
      <c r="Q32" s="13">
        <f>(((3463656*P32)*3)/Table1[[#This Row],[تعداد روزهای ماه]]*Table1[[#This Row],[روزهای کارکرد فرد]])</f>
        <v>0</v>
      </c>
      <c r="R32" s="13">
        <f>MIN(9000000,((9000000/30)*Table1[[#This Row],[روزهای کارکرد فرد]]))</f>
        <v>9000000</v>
      </c>
      <c r="S32" s="13">
        <f>MIN(22000000,((22000000/30)*Table1[[#This Row],[روزهای کارکرد فرد]]))</f>
        <v>22000000</v>
      </c>
      <c r="T32" s="13">
        <f>Table1[[#This Row],[خواربار]]+Table1[[#This Row],[مسکن]]+Table1[[#This Row],[حق تاهل ]]</f>
        <v>36000000</v>
      </c>
      <c r="U32" s="21"/>
      <c r="V32" s="13">
        <f t="shared" si="9"/>
        <v>0</v>
      </c>
      <c r="W32" s="13">
        <f t="shared" si="10"/>
        <v>0</v>
      </c>
      <c r="X32" s="13">
        <f>((Table1[[#This Row],[حقوق روزانه سال 1404]]*30)/366)*Table1[[#This Row],[تعداد روز کارکرد از ابتدای سال تا امروز (جهت محاسبه عیدی)]]</f>
        <v>0</v>
      </c>
      <c r="Y32" s="13"/>
      <c r="Z32" s="13">
        <f t="shared" si="11"/>
        <v>0</v>
      </c>
      <c r="AA32" s="13">
        <f>IF(Table1[[#This Row],[اضافه کار ]]&lt;10,Table1[[#This Row],[اضافه کار ]],10)</f>
        <v>0</v>
      </c>
      <c r="AB32" s="13">
        <v>0</v>
      </c>
      <c r="AC32" s="13">
        <v>0</v>
      </c>
      <c r="AD32"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32" s="13">
        <f>L32+Q32+R32+AB32+AC32+Z32+S32+O32+Table1[[#This Row],[پایه سنوات ماهانه]]+Table1[[#This Row],[عيدي]]+Table1[[#This Row],[سنوات]]</f>
        <v>186365298.95224783</v>
      </c>
      <c r="AF32" s="13">
        <f>MAX((AC32+Z32+Table1[[#This Row],[پایه سنوات ماهانه]]+S32+R32+Q32+O32+L32-AG32),0)</f>
        <v>173319728.95224786</v>
      </c>
      <c r="AG32" s="13">
        <f t="shared" si="12"/>
        <v>13045570</v>
      </c>
      <c r="AH32" s="13">
        <f t="shared" si="13"/>
        <v>37273060</v>
      </c>
      <c r="AI32" s="13">
        <f t="shared" si="14"/>
        <v>5590959</v>
      </c>
      <c r="AJ32" s="13">
        <f t="shared" si="15"/>
        <v>55909589</v>
      </c>
      <c r="AK32" s="13">
        <f t="shared" si="16"/>
        <v>0</v>
      </c>
      <c r="AL32" s="13">
        <f t="shared" si="17"/>
        <v>13045570</v>
      </c>
      <c r="AM32" s="22">
        <f>Table1[[#This Row],[حقوق و مزایای مشمول و غیر مشمول بیمه]]-Table1[[#This Row],[جمع کسورات]]</f>
        <v>173319728.95224783</v>
      </c>
    </row>
    <row r="33" spans="1:39" s="24" customFormat="1" ht="21.6">
      <c r="A33" s="19">
        <v>31</v>
      </c>
      <c r="B33" s="13" t="s">
        <v>121</v>
      </c>
      <c r="C33" s="20"/>
      <c r="D33" s="20"/>
      <c r="E33" s="13">
        <v>3000000</v>
      </c>
      <c r="F33" s="13">
        <v>5</v>
      </c>
      <c r="G33" s="13">
        <f t="shared" si="0"/>
        <v>579958.51458863996</v>
      </c>
      <c r="H33" s="13"/>
      <c r="I33" s="13">
        <f>IF(Table1[[#This Row],[حقوق سال 1403]]=2388728,3463656,(Table1[[#This Row],[حقوق سال 1403]]*1.32+310535))</f>
        <v>4270535</v>
      </c>
      <c r="J33" s="13">
        <v>31</v>
      </c>
      <c r="K33" s="13">
        <v>31</v>
      </c>
      <c r="L33" s="13">
        <f>Table1[[#This Row],[حقوق روزانه سال 1404]]*Table1[[#This Row],[روزهای کارکرد فرد]]</f>
        <v>132386585</v>
      </c>
      <c r="M33" s="13">
        <f>(Table1[[#This Row],[پایه سنوات روزانه تا پایان 30 اسفند 1403
با احتساب افزایش حقوق 1404]]+Table1[[#This Row],[پایه سنوات سال 1404]])*Table1[[#This Row],[روزهای کارکرد فرد]]</f>
        <v>17978713.952247839</v>
      </c>
      <c r="N33" s="13" t="s">
        <v>35</v>
      </c>
      <c r="O33" s="13">
        <f t="shared" si="8"/>
        <v>5000000</v>
      </c>
      <c r="P33" s="13"/>
      <c r="Q33" s="13">
        <f>(((3463656*P33)*3)/Table1[[#This Row],[تعداد روزهای ماه]]*Table1[[#This Row],[روزهای کارکرد فرد]])</f>
        <v>0</v>
      </c>
      <c r="R33" s="13">
        <f>MIN(9000000,((9000000/30)*Table1[[#This Row],[روزهای کارکرد فرد]]))</f>
        <v>9000000</v>
      </c>
      <c r="S33" s="13">
        <f>MIN(22000000,((22000000/30)*Table1[[#This Row],[روزهای کارکرد فرد]]))</f>
        <v>22000000</v>
      </c>
      <c r="T33" s="13">
        <f>Table1[[#This Row],[خواربار]]+Table1[[#This Row],[مسکن]]+Table1[[#This Row],[حق تاهل ]]</f>
        <v>36000000</v>
      </c>
      <c r="U33" s="21"/>
      <c r="V33" s="13">
        <f t="shared" si="9"/>
        <v>0</v>
      </c>
      <c r="W33" s="13">
        <f t="shared" si="10"/>
        <v>0</v>
      </c>
      <c r="X33" s="13">
        <f>((Table1[[#This Row],[حقوق روزانه سال 1404]]*30)/366)*Table1[[#This Row],[تعداد روز کارکرد از ابتدای سال تا امروز (جهت محاسبه عیدی)]]</f>
        <v>0</v>
      </c>
      <c r="Y33" s="13"/>
      <c r="Z33" s="13">
        <f t="shared" si="11"/>
        <v>0</v>
      </c>
      <c r="AA33" s="13">
        <f>IF(Table1[[#This Row],[اضافه کار ]]&lt;10,Table1[[#This Row],[اضافه کار ]],10)</f>
        <v>0</v>
      </c>
      <c r="AB33" s="13">
        <v>0</v>
      </c>
      <c r="AC33" s="13">
        <v>0</v>
      </c>
      <c r="AD33"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33" s="13">
        <f>L33+Q33+R33+AB33+AC33+Z33+S33+O33+Table1[[#This Row],[پایه سنوات ماهانه]]+Table1[[#This Row],[عيدي]]+Table1[[#This Row],[سنوات]]</f>
        <v>186365298.95224783</v>
      </c>
      <c r="AF33" s="13">
        <f>MAX((AC33+Z33+Table1[[#This Row],[پایه سنوات ماهانه]]+S33+R33+Q33+O33+L33-AG33),0)</f>
        <v>173319728.95224786</v>
      </c>
      <c r="AG33" s="13">
        <f t="shared" si="12"/>
        <v>13045570</v>
      </c>
      <c r="AH33" s="13">
        <f t="shared" si="13"/>
        <v>37273060</v>
      </c>
      <c r="AI33" s="13">
        <f t="shared" si="14"/>
        <v>5590959</v>
      </c>
      <c r="AJ33" s="13">
        <f t="shared" si="15"/>
        <v>55909589</v>
      </c>
      <c r="AK33" s="13">
        <f t="shared" si="16"/>
        <v>0</v>
      </c>
      <c r="AL33" s="13">
        <f t="shared" si="17"/>
        <v>13045570</v>
      </c>
      <c r="AM33" s="22">
        <f>Table1[[#This Row],[حقوق و مزایای مشمول و غیر مشمول بیمه]]-Table1[[#This Row],[جمع کسورات]]</f>
        <v>173319728.95224783</v>
      </c>
    </row>
    <row r="34" spans="1:39" s="24" customFormat="1" ht="21.6">
      <c r="A34" s="19">
        <v>32</v>
      </c>
      <c r="B34" s="13" t="s">
        <v>122</v>
      </c>
      <c r="C34" s="20"/>
      <c r="D34" s="20"/>
      <c r="E34" s="13">
        <v>3000000</v>
      </c>
      <c r="F34" s="13">
        <v>5</v>
      </c>
      <c r="G34" s="13">
        <f t="shared" si="0"/>
        <v>579958.51458863996</v>
      </c>
      <c r="H34" s="13"/>
      <c r="I34" s="13">
        <f>IF(Table1[[#This Row],[حقوق سال 1403]]=2388728,3463656,(Table1[[#This Row],[حقوق سال 1403]]*1.32+310535))</f>
        <v>4270535</v>
      </c>
      <c r="J34" s="13">
        <v>31</v>
      </c>
      <c r="K34" s="13">
        <v>31</v>
      </c>
      <c r="L34" s="13">
        <f>Table1[[#This Row],[حقوق روزانه سال 1404]]*Table1[[#This Row],[روزهای کارکرد فرد]]</f>
        <v>132386585</v>
      </c>
      <c r="M34" s="13">
        <f>(Table1[[#This Row],[پایه سنوات روزانه تا پایان 30 اسفند 1403
با احتساب افزایش حقوق 1404]]+Table1[[#This Row],[پایه سنوات سال 1404]])*Table1[[#This Row],[روزهای کارکرد فرد]]</f>
        <v>17978713.952247839</v>
      </c>
      <c r="N34" s="13" t="s">
        <v>35</v>
      </c>
      <c r="O34" s="13">
        <f t="shared" si="8"/>
        <v>5000000</v>
      </c>
      <c r="P34" s="13"/>
      <c r="Q34" s="13">
        <f>(((3463656*P34)*3)/Table1[[#This Row],[تعداد روزهای ماه]]*Table1[[#This Row],[روزهای کارکرد فرد]])</f>
        <v>0</v>
      </c>
      <c r="R34" s="13">
        <f>MIN(9000000,((9000000/30)*Table1[[#This Row],[روزهای کارکرد فرد]]))</f>
        <v>9000000</v>
      </c>
      <c r="S34" s="13">
        <f>MIN(22000000,((22000000/30)*Table1[[#This Row],[روزهای کارکرد فرد]]))</f>
        <v>22000000</v>
      </c>
      <c r="T34" s="13">
        <f>Table1[[#This Row],[خواربار]]+Table1[[#This Row],[مسکن]]+Table1[[#This Row],[حق تاهل ]]</f>
        <v>36000000</v>
      </c>
      <c r="U34" s="21"/>
      <c r="V34" s="13">
        <f t="shared" si="9"/>
        <v>0</v>
      </c>
      <c r="W34" s="13">
        <f t="shared" si="10"/>
        <v>0</v>
      </c>
      <c r="X34" s="13">
        <f>((Table1[[#This Row],[حقوق روزانه سال 1404]]*30)/366)*Table1[[#This Row],[تعداد روز کارکرد از ابتدای سال تا امروز (جهت محاسبه عیدی)]]</f>
        <v>0</v>
      </c>
      <c r="Y34" s="13"/>
      <c r="Z34" s="13">
        <f t="shared" si="11"/>
        <v>0</v>
      </c>
      <c r="AA34" s="13">
        <f>IF(Table1[[#This Row],[اضافه کار ]]&lt;10,Table1[[#This Row],[اضافه کار ]],10)</f>
        <v>0</v>
      </c>
      <c r="AB34" s="13">
        <v>0</v>
      </c>
      <c r="AC34" s="13">
        <v>0</v>
      </c>
      <c r="AD34"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34" s="13">
        <f>L34+Q34+R34+AB34+AC34+Z34+S34+O34+Table1[[#This Row],[پایه سنوات ماهانه]]+Table1[[#This Row],[عيدي]]+Table1[[#This Row],[سنوات]]</f>
        <v>186365298.95224783</v>
      </c>
      <c r="AF34" s="13">
        <f>MAX((AC34+Z34+Table1[[#This Row],[پایه سنوات ماهانه]]+S34+R34+Q34+O34+L34-AG34),0)</f>
        <v>173319728.95224786</v>
      </c>
      <c r="AG34" s="13">
        <f t="shared" si="12"/>
        <v>13045570</v>
      </c>
      <c r="AH34" s="13">
        <f t="shared" si="13"/>
        <v>37273060</v>
      </c>
      <c r="AI34" s="13">
        <f t="shared" si="14"/>
        <v>5590959</v>
      </c>
      <c r="AJ34" s="13">
        <f t="shared" si="15"/>
        <v>55909589</v>
      </c>
      <c r="AK34" s="13">
        <f t="shared" si="16"/>
        <v>0</v>
      </c>
      <c r="AL34" s="13">
        <f t="shared" si="17"/>
        <v>13045570</v>
      </c>
      <c r="AM34" s="22">
        <f>Table1[[#This Row],[حقوق و مزایای مشمول و غیر مشمول بیمه]]-Table1[[#This Row],[جمع کسورات]]</f>
        <v>173319728.95224783</v>
      </c>
    </row>
    <row r="35" spans="1:39" s="24" customFormat="1" ht="21.6">
      <c r="A35" s="19">
        <v>33</v>
      </c>
      <c r="B35" s="13" t="s">
        <v>123</v>
      </c>
      <c r="C35" s="20"/>
      <c r="D35" s="20"/>
      <c r="E35" s="13">
        <v>3000000</v>
      </c>
      <c r="F35" s="13">
        <v>5</v>
      </c>
      <c r="G35" s="13">
        <f t="shared" si="0"/>
        <v>579958.51458863996</v>
      </c>
      <c r="H35" s="13"/>
      <c r="I35" s="13">
        <f>IF(Table1[[#This Row],[حقوق سال 1403]]=2388728,3463656,(Table1[[#This Row],[حقوق سال 1403]]*1.32+310535))</f>
        <v>4270535</v>
      </c>
      <c r="J35" s="13">
        <v>31</v>
      </c>
      <c r="K35" s="13">
        <v>31</v>
      </c>
      <c r="L35" s="13">
        <f>Table1[[#This Row],[حقوق روزانه سال 1404]]*Table1[[#This Row],[روزهای کارکرد فرد]]</f>
        <v>132386585</v>
      </c>
      <c r="M35" s="13">
        <f>(Table1[[#This Row],[پایه سنوات روزانه تا پایان 30 اسفند 1403
با احتساب افزایش حقوق 1404]]+Table1[[#This Row],[پایه سنوات سال 1404]])*Table1[[#This Row],[روزهای کارکرد فرد]]</f>
        <v>17978713.952247839</v>
      </c>
      <c r="N35" s="13" t="s">
        <v>35</v>
      </c>
      <c r="O35" s="13">
        <f t="shared" si="8"/>
        <v>5000000</v>
      </c>
      <c r="P35" s="13"/>
      <c r="Q35" s="13">
        <f>(((3463656*P35)*3)/Table1[[#This Row],[تعداد روزهای ماه]]*Table1[[#This Row],[روزهای کارکرد فرد]])</f>
        <v>0</v>
      </c>
      <c r="R35" s="13">
        <f>MIN(9000000,((9000000/30)*Table1[[#This Row],[روزهای کارکرد فرد]]))</f>
        <v>9000000</v>
      </c>
      <c r="S35" s="13">
        <f>MIN(22000000,((22000000/30)*Table1[[#This Row],[روزهای کارکرد فرد]]))</f>
        <v>22000000</v>
      </c>
      <c r="T35" s="13">
        <f>Table1[[#This Row],[خواربار]]+Table1[[#This Row],[مسکن]]+Table1[[#This Row],[حق تاهل ]]</f>
        <v>36000000</v>
      </c>
      <c r="U35" s="21"/>
      <c r="V35" s="13">
        <f t="shared" si="9"/>
        <v>0</v>
      </c>
      <c r="W35" s="13">
        <f t="shared" si="10"/>
        <v>0</v>
      </c>
      <c r="X35" s="13">
        <f>((Table1[[#This Row],[حقوق روزانه سال 1404]]*30)/366)*Table1[[#This Row],[تعداد روز کارکرد از ابتدای سال تا امروز (جهت محاسبه عیدی)]]</f>
        <v>0</v>
      </c>
      <c r="Y35" s="13"/>
      <c r="Z35" s="13">
        <f t="shared" si="11"/>
        <v>0</v>
      </c>
      <c r="AA35" s="13">
        <f>IF(Table1[[#This Row],[اضافه کار ]]&lt;10,Table1[[#This Row],[اضافه کار ]],10)</f>
        <v>0</v>
      </c>
      <c r="AB35" s="13">
        <v>0</v>
      </c>
      <c r="AC35" s="13">
        <v>0</v>
      </c>
      <c r="AD35"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35" s="13">
        <f>L35+Q35+R35+AB35+AC35+Z35+S35+O35+Table1[[#This Row],[پایه سنوات ماهانه]]+Table1[[#This Row],[عيدي]]+Table1[[#This Row],[سنوات]]</f>
        <v>186365298.95224783</v>
      </c>
      <c r="AF35" s="13">
        <f>MAX((AC35+Z35+Table1[[#This Row],[پایه سنوات ماهانه]]+S35+R35+Q35+O35+L35-AG35),0)</f>
        <v>173319728.95224786</v>
      </c>
      <c r="AG35" s="13">
        <f t="shared" si="12"/>
        <v>13045570</v>
      </c>
      <c r="AH35" s="13">
        <f t="shared" si="13"/>
        <v>37273060</v>
      </c>
      <c r="AI35" s="13">
        <f t="shared" si="14"/>
        <v>5590959</v>
      </c>
      <c r="AJ35" s="13">
        <f t="shared" si="15"/>
        <v>55909589</v>
      </c>
      <c r="AK35" s="13">
        <f t="shared" si="16"/>
        <v>0</v>
      </c>
      <c r="AL35" s="13">
        <f t="shared" si="17"/>
        <v>13045570</v>
      </c>
      <c r="AM35" s="22">
        <f>Table1[[#This Row],[حقوق و مزایای مشمول و غیر مشمول بیمه]]-Table1[[#This Row],[جمع کسورات]]</f>
        <v>173319728.95224783</v>
      </c>
    </row>
    <row r="36" spans="1:39" s="24" customFormat="1" ht="21.6">
      <c r="A36" s="19">
        <v>34</v>
      </c>
      <c r="B36" s="13" t="s">
        <v>124</v>
      </c>
      <c r="C36" s="20"/>
      <c r="D36" s="20"/>
      <c r="E36" s="13">
        <v>3000000</v>
      </c>
      <c r="F36" s="13">
        <v>5</v>
      </c>
      <c r="G36" s="13">
        <f t="shared" si="0"/>
        <v>579958.51458863996</v>
      </c>
      <c r="H36" s="13"/>
      <c r="I36" s="13">
        <f>IF(Table1[[#This Row],[حقوق سال 1403]]=2388728,3463656,(Table1[[#This Row],[حقوق سال 1403]]*1.32+310535))</f>
        <v>4270535</v>
      </c>
      <c r="J36" s="13">
        <v>31</v>
      </c>
      <c r="K36" s="13">
        <v>31</v>
      </c>
      <c r="L36" s="13">
        <f>Table1[[#This Row],[حقوق روزانه سال 1404]]*Table1[[#This Row],[روزهای کارکرد فرد]]</f>
        <v>132386585</v>
      </c>
      <c r="M36" s="13">
        <f>(Table1[[#This Row],[پایه سنوات روزانه تا پایان 30 اسفند 1403
با احتساب افزایش حقوق 1404]]+Table1[[#This Row],[پایه سنوات سال 1404]])*Table1[[#This Row],[روزهای کارکرد فرد]]</f>
        <v>17978713.952247839</v>
      </c>
      <c r="N36" s="13" t="s">
        <v>35</v>
      </c>
      <c r="O36" s="13">
        <f t="shared" si="8"/>
        <v>5000000</v>
      </c>
      <c r="P36" s="13"/>
      <c r="Q36" s="13">
        <f>(((3463656*P36)*3)/Table1[[#This Row],[تعداد روزهای ماه]]*Table1[[#This Row],[روزهای کارکرد فرد]])</f>
        <v>0</v>
      </c>
      <c r="R36" s="13">
        <f>MIN(9000000,((9000000/30)*Table1[[#This Row],[روزهای کارکرد فرد]]))</f>
        <v>9000000</v>
      </c>
      <c r="S36" s="13">
        <f>MIN(22000000,((22000000/30)*Table1[[#This Row],[روزهای کارکرد فرد]]))</f>
        <v>22000000</v>
      </c>
      <c r="T36" s="13">
        <f>Table1[[#This Row],[خواربار]]+Table1[[#This Row],[مسکن]]+Table1[[#This Row],[حق تاهل ]]</f>
        <v>36000000</v>
      </c>
      <c r="U36" s="21"/>
      <c r="V36" s="13">
        <f t="shared" si="9"/>
        <v>0</v>
      </c>
      <c r="W36" s="13">
        <f t="shared" si="10"/>
        <v>0</v>
      </c>
      <c r="X36" s="13">
        <f>((Table1[[#This Row],[حقوق روزانه سال 1404]]*30)/366)*Table1[[#This Row],[تعداد روز کارکرد از ابتدای سال تا امروز (جهت محاسبه عیدی)]]</f>
        <v>0</v>
      </c>
      <c r="Y36" s="13"/>
      <c r="Z36" s="13">
        <f t="shared" si="11"/>
        <v>0</v>
      </c>
      <c r="AA36" s="13">
        <f>IF(Table1[[#This Row],[اضافه کار ]]&lt;10,Table1[[#This Row],[اضافه کار ]],10)</f>
        <v>0</v>
      </c>
      <c r="AB36" s="13">
        <v>0</v>
      </c>
      <c r="AC36" s="13">
        <v>0</v>
      </c>
      <c r="AD36"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36" s="13">
        <f>L36+Q36+R36+AB36+AC36+Z36+S36+O36+Table1[[#This Row],[پایه سنوات ماهانه]]+Table1[[#This Row],[عيدي]]+Table1[[#This Row],[سنوات]]</f>
        <v>186365298.95224783</v>
      </c>
      <c r="AF36" s="13">
        <f>MAX((AC36+Z36+Table1[[#This Row],[پایه سنوات ماهانه]]+S36+R36+Q36+O36+L36-AG36),0)</f>
        <v>173319728.95224786</v>
      </c>
      <c r="AG36" s="13">
        <f t="shared" si="12"/>
        <v>13045570</v>
      </c>
      <c r="AH36" s="13">
        <f t="shared" si="13"/>
        <v>37273060</v>
      </c>
      <c r="AI36" s="13">
        <f t="shared" si="14"/>
        <v>5590959</v>
      </c>
      <c r="AJ36" s="13">
        <f t="shared" si="15"/>
        <v>55909589</v>
      </c>
      <c r="AK36" s="13">
        <f t="shared" si="16"/>
        <v>0</v>
      </c>
      <c r="AL36" s="13">
        <f t="shared" si="17"/>
        <v>13045570</v>
      </c>
      <c r="AM36" s="22">
        <f>Table1[[#This Row],[حقوق و مزایای مشمول و غیر مشمول بیمه]]-Table1[[#This Row],[جمع کسورات]]</f>
        <v>173319728.95224783</v>
      </c>
    </row>
    <row r="37" spans="1:39" s="24" customFormat="1" ht="21.6">
      <c r="A37" s="19">
        <v>35</v>
      </c>
      <c r="B37" s="13" t="s">
        <v>125</v>
      </c>
      <c r="C37" s="20"/>
      <c r="D37" s="20"/>
      <c r="E37" s="13">
        <v>3000000</v>
      </c>
      <c r="F37" s="13">
        <v>5</v>
      </c>
      <c r="G37" s="13">
        <f t="shared" si="0"/>
        <v>579958.51458863996</v>
      </c>
      <c r="H37" s="13"/>
      <c r="I37" s="13">
        <f>IF(Table1[[#This Row],[حقوق سال 1403]]=2388728,3463656,(Table1[[#This Row],[حقوق سال 1403]]*1.32+310535))</f>
        <v>4270535</v>
      </c>
      <c r="J37" s="13">
        <v>31</v>
      </c>
      <c r="K37" s="13">
        <v>31</v>
      </c>
      <c r="L37" s="13">
        <f>Table1[[#This Row],[حقوق روزانه سال 1404]]*Table1[[#This Row],[روزهای کارکرد فرد]]</f>
        <v>132386585</v>
      </c>
      <c r="M37" s="13">
        <f>(Table1[[#This Row],[پایه سنوات روزانه تا پایان 30 اسفند 1403
با احتساب افزایش حقوق 1404]]+Table1[[#This Row],[پایه سنوات سال 1404]])*Table1[[#This Row],[روزهای کارکرد فرد]]</f>
        <v>17978713.952247839</v>
      </c>
      <c r="N37" s="13" t="s">
        <v>35</v>
      </c>
      <c r="O37" s="13">
        <f t="shared" si="8"/>
        <v>5000000</v>
      </c>
      <c r="P37" s="13"/>
      <c r="Q37" s="13">
        <f>(((3463656*P37)*3)/Table1[[#This Row],[تعداد روزهای ماه]]*Table1[[#This Row],[روزهای کارکرد فرد]])</f>
        <v>0</v>
      </c>
      <c r="R37" s="13">
        <f>MIN(9000000,((9000000/30)*Table1[[#This Row],[روزهای کارکرد فرد]]))</f>
        <v>9000000</v>
      </c>
      <c r="S37" s="13">
        <f>MIN(22000000,((22000000/30)*Table1[[#This Row],[روزهای کارکرد فرد]]))</f>
        <v>22000000</v>
      </c>
      <c r="T37" s="13">
        <f>Table1[[#This Row],[خواربار]]+Table1[[#This Row],[مسکن]]+Table1[[#This Row],[حق تاهل ]]</f>
        <v>36000000</v>
      </c>
      <c r="U37" s="21"/>
      <c r="V37" s="13">
        <f t="shared" si="9"/>
        <v>0</v>
      </c>
      <c r="W37" s="13">
        <f t="shared" si="10"/>
        <v>0</v>
      </c>
      <c r="X37" s="13">
        <f>((Table1[[#This Row],[حقوق روزانه سال 1404]]*30)/366)*Table1[[#This Row],[تعداد روز کارکرد از ابتدای سال تا امروز (جهت محاسبه عیدی)]]</f>
        <v>0</v>
      </c>
      <c r="Y37" s="13"/>
      <c r="Z37" s="13">
        <f t="shared" si="11"/>
        <v>0</v>
      </c>
      <c r="AA37" s="13">
        <f>IF(Table1[[#This Row],[اضافه کار ]]&lt;10,Table1[[#This Row],[اضافه کار ]],10)</f>
        <v>0</v>
      </c>
      <c r="AB37" s="13">
        <v>0</v>
      </c>
      <c r="AC37" s="13">
        <v>0</v>
      </c>
      <c r="AD37"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37" s="13">
        <f>L37+Q37+R37+AB37+AC37+Z37+S37+O37+Table1[[#This Row],[پایه سنوات ماهانه]]+Table1[[#This Row],[عيدي]]+Table1[[#This Row],[سنوات]]</f>
        <v>186365298.95224783</v>
      </c>
      <c r="AF37" s="13">
        <f>MAX((AC37+Z37+Table1[[#This Row],[پایه سنوات ماهانه]]+S37+R37+Q37+O37+L37-AG37),0)</f>
        <v>173319728.95224786</v>
      </c>
      <c r="AG37" s="13">
        <f t="shared" si="12"/>
        <v>13045570</v>
      </c>
      <c r="AH37" s="13">
        <f t="shared" si="13"/>
        <v>37273060</v>
      </c>
      <c r="AI37" s="13">
        <f t="shared" si="14"/>
        <v>5590959</v>
      </c>
      <c r="AJ37" s="13">
        <f t="shared" si="15"/>
        <v>55909589</v>
      </c>
      <c r="AK37" s="13">
        <f t="shared" si="16"/>
        <v>0</v>
      </c>
      <c r="AL37" s="13">
        <f t="shared" si="17"/>
        <v>13045570</v>
      </c>
      <c r="AM37" s="22">
        <f>Table1[[#This Row],[حقوق و مزایای مشمول و غیر مشمول بیمه]]-Table1[[#This Row],[جمع کسورات]]</f>
        <v>173319728.95224783</v>
      </c>
    </row>
    <row r="38" spans="1:39" s="24" customFormat="1" ht="21.6">
      <c r="A38" s="19">
        <v>36</v>
      </c>
      <c r="B38" s="13" t="s">
        <v>126</v>
      </c>
      <c r="C38" s="20"/>
      <c r="D38" s="20"/>
      <c r="E38" s="13">
        <v>3000000</v>
      </c>
      <c r="F38" s="13">
        <v>5</v>
      </c>
      <c r="G38" s="13">
        <f t="shared" si="0"/>
        <v>579958.51458863996</v>
      </c>
      <c r="H38" s="13"/>
      <c r="I38" s="13">
        <f>IF(Table1[[#This Row],[حقوق سال 1403]]=2388728,3463656,(Table1[[#This Row],[حقوق سال 1403]]*1.32+310535))</f>
        <v>4270535</v>
      </c>
      <c r="J38" s="13">
        <v>31</v>
      </c>
      <c r="K38" s="13">
        <v>31</v>
      </c>
      <c r="L38" s="13">
        <f>Table1[[#This Row],[حقوق روزانه سال 1404]]*Table1[[#This Row],[روزهای کارکرد فرد]]</f>
        <v>132386585</v>
      </c>
      <c r="M38" s="13">
        <f>(Table1[[#This Row],[پایه سنوات روزانه تا پایان 30 اسفند 1403
با احتساب افزایش حقوق 1404]]+Table1[[#This Row],[پایه سنوات سال 1404]])*Table1[[#This Row],[روزهای کارکرد فرد]]</f>
        <v>17978713.952247839</v>
      </c>
      <c r="N38" s="13" t="s">
        <v>35</v>
      </c>
      <c r="O38" s="13">
        <f t="shared" si="8"/>
        <v>5000000</v>
      </c>
      <c r="P38" s="13"/>
      <c r="Q38" s="13">
        <f>(((3463656*P38)*3)/Table1[[#This Row],[تعداد روزهای ماه]]*Table1[[#This Row],[روزهای کارکرد فرد]])</f>
        <v>0</v>
      </c>
      <c r="R38" s="13">
        <f>MIN(9000000,((9000000/30)*Table1[[#This Row],[روزهای کارکرد فرد]]))</f>
        <v>9000000</v>
      </c>
      <c r="S38" s="13">
        <f>MIN(22000000,((22000000/30)*Table1[[#This Row],[روزهای کارکرد فرد]]))</f>
        <v>22000000</v>
      </c>
      <c r="T38" s="13">
        <f>Table1[[#This Row],[خواربار]]+Table1[[#This Row],[مسکن]]+Table1[[#This Row],[حق تاهل ]]</f>
        <v>36000000</v>
      </c>
      <c r="U38" s="21"/>
      <c r="V38" s="13">
        <f t="shared" si="9"/>
        <v>0</v>
      </c>
      <c r="W38" s="13">
        <f t="shared" si="10"/>
        <v>0</v>
      </c>
      <c r="X38" s="13">
        <f>((Table1[[#This Row],[حقوق روزانه سال 1404]]*30)/366)*Table1[[#This Row],[تعداد روز کارکرد از ابتدای سال تا امروز (جهت محاسبه عیدی)]]</f>
        <v>0</v>
      </c>
      <c r="Y38" s="13"/>
      <c r="Z38" s="13">
        <f t="shared" si="11"/>
        <v>0</v>
      </c>
      <c r="AA38" s="13">
        <f>IF(Table1[[#This Row],[اضافه کار ]]&lt;10,Table1[[#This Row],[اضافه کار ]],10)</f>
        <v>0</v>
      </c>
      <c r="AB38" s="13">
        <v>0</v>
      </c>
      <c r="AC38" s="13">
        <v>0</v>
      </c>
      <c r="AD38"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38" s="13">
        <f>L38+Q38+R38+AB38+AC38+Z38+S38+O38+Table1[[#This Row],[پایه سنوات ماهانه]]+Table1[[#This Row],[عيدي]]+Table1[[#This Row],[سنوات]]</f>
        <v>186365298.95224783</v>
      </c>
      <c r="AF38" s="13">
        <f>MAX((AC38+Z38+Table1[[#This Row],[پایه سنوات ماهانه]]+S38+R38+Q38+O38+L38-AG38),0)</f>
        <v>173319728.95224786</v>
      </c>
      <c r="AG38" s="13">
        <f t="shared" si="12"/>
        <v>13045570</v>
      </c>
      <c r="AH38" s="13">
        <f t="shared" si="13"/>
        <v>37273060</v>
      </c>
      <c r="AI38" s="13">
        <f t="shared" si="14"/>
        <v>5590959</v>
      </c>
      <c r="AJ38" s="13">
        <f t="shared" si="15"/>
        <v>55909589</v>
      </c>
      <c r="AK38" s="13">
        <f t="shared" si="16"/>
        <v>0</v>
      </c>
      <c r="AL38" s="13">
        <f t="shared" si="17"/>
        <v>13045570</v>
      </c>
      <c r="AM38" s="22">
        <f>Table1[[#This Row],[حقوق و مزایای مشمول و غیر مشمول بیمه]]-Table1[[#This Row],[جمع کسورات]]</f>
        <v>173319728.95224783</v>
      </c>
    </row>
    <row r="39" spans="1:39" s="24" customFormat="1" ht="21.6">
      <c r="A39" s="19">
        <v>37</v>
      </c>
      <c r="B39" s="13" t="s">
        <v>127</v>
      </c>
      <c r="C39" s="20"/>
      <c r="D39" s="20"/>
      <c r="E39" s="13">
        <v>3000000</v>
      </c>
      <c r="F39" s="13">
        <v>5</v>
      </c>
      <c r="G39" s="13">
        <f t="shared" si="0"/>
        <v>579958.51458863996</v>
      </c>
      <c r="H39" s="13"/>
      <c r="I39" s="13">
        <f>IF(Table1[[#This Row],[حقوق سال 1403]]=2388728,3463656,(Table1[[#This Row],[حقوق سال 1403]]*1.32+310535))</f>
        <v>4270535</v>
      </c>
      <c r="J39" s="13">
        <v>31</v>
      </c>
      <c r="K39" s="13">
        <v>31</v>
      </c>
      <c r="L39" s="13">
        <f>Table1[[#This Row],[حقوق روزانه سال 1404]]*Table1[[#This Row],[روزهای کارکرد فرد]]</f>
        <v>132386585</v>
      </c>
      <c r="M39" s="13">
        <f>(Table1[[#This Row],[پایه سنوات روزانه تا پایان 30 اسفند 1403
با احتساب افزایش حقوق 1404]]+Table1[[#This Row],[پایه سنوات سال 1404]])*Table1[[#This Row],[روزهای کارکرد فرد]]</f>
        <v>17978713.952247839</v>
      </c>
      <c r="N39" s="13" t="s">
        <v>35</v>
      </c>
      <c r="O39" s="13">
        <f t="shared" si="8"/>
        <v>5000000</v>
      </c>
      <c r="P39" s="13"/>
      <c r="Q39" s="13">
        <f>(((3463656*P39)*3)/Table1[[#This Row],[تعداد روزهای ماه]]*Table1[[#This Row],[روزهای کارکرد فرد]])</f>
        <v>0</v>
      </c>
      <c r="R39" s="13">
        <f>MIN(9000000,((9000000/30)*Table1[[#This Row],[روزهای کارکرد فرد]]))</f>
        <v>9000000</v>
      </c>
      <c r="S39" s="13">
        <f>MIN(22000000,((22000000/30)*Table1[[#This Row],[روزهای کارکرد فرد]]))</f>
        <v>22000000</v>
      </c>
      <c r="T39" s="13">
        <f>Table1[[#This Row],[خواربار]]+Table1[[#This Row],[مسکن]]+Table1[[#This Row],[حق تاهل ]]</f>
        <v>36000000</v>
      </c>
      <c r="U39" s="21"/>
      <c r="V39" s="13">
        <f t="shared" si="9"/>
        <v>0</v>
      </c>
      <c r="W39" s="13">
        <f t="shared" si="10"/>
        <v>0</v>
      </c>
      <c r="X39" s="13">
        <f>((Table1[[#This Row],[حقوق روزانه سال 1404]]*30)/366)*Table1[[#This Row],[تعداد روز کارکرد از ابتدای سال تا امروز (جهت محاسبه عیدی)]]</f>
        <v>0</v>
      </c>
      <c r="Y39" s="13"/>
      <c r="Z39" s="13">
        <f t="shared" si="11"/>
        <v>0</v>
      </c>
      <c r="AA39" s="13">
        <f>IF(Table1[[#This Row],[اضافه کار ]]&lt;10,Table1[[#This Row],[اضافه کار ]],10)</f>
        <v>0</v>
      </c>
      <c r="AB39" s="13">
        <v>0</v>
      </c>
      <c r="AC39" s="13">
        <v>0</v>
      </c>
      <c r="AD39"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39" s="13">
        <f>L39+Q39+R39+AB39+AC39+Z39+S39+O39+Table1[[#This Row],[پایه سنوات ماهانه]]+Table1[[#This Row],[عيدي]]+Table1[[#This Row],[سنوات]]</f>
        <v>186365298.95224783</v>
      </c>
      <c r="AF39" s="13">
        <f>MAX((AC39+Z39+Table1[[#This Row],[پایه سنوات ماهانه]]+S39+R39+Q39+O39+L39-AG39),0)</f>
        <v>173319728.95224786</v>
      </c>
      <c r="AG39" s="13">
        <f t="shared" si="12"/>
        <v>13045570</v>
      </c>
      <c r="AH39" s="13">
        <f t="shared" si="13"/>
        <v>37273060</v>
      </c>
      <c r="AI39" s="13">
        <f t="shared" si="14"/>
        <v>5590959</v>
      </c>
      <c r="AJ39" s="13">
        <f t="shared" si="15"/>
        <v>55909589</v>
      </c>
      <c r="AK39" s="13">
        <f t="shared" si="16"/>
        <v>0</v>
      </c>
      <c r="AL39" s="13">
        <f t="shared" si="17"/>
        <v>13045570</v>
      </c>
      <c r="AM39" s="22">
        <f>Table1[[#This Row],[حقوق و مزایای مشمول و غیر مشمول بیمه]]-Table1[[#This Row],[جمع کسورات]]</f>
        <v>173319728.95224783</v>
      </c>
    </row>
    <row r="40" spans="1:39" s="24" customFormat="1" ht="21.6">
      <c r="A40" s="19">
        <v>38</v>
      </c>
      <c r="B40" s="13" t="s">
        <v>128</v>
      </c>
      <c r="C40" s="20"/>
      <c r="D40" s="20"/>
      <c r="E40" s="13">
        <v>3000000</v>
      </c>
      <c r="F40" s="13">
        <v>5</v>
      </c>
      <c r="G40" s="13">
        <f t="shared" si="0"/>
        <v>579958.51458863996</v>
      </c>
      <c r="H40" s="13"/>
      <c r="I40" s="13">
        <f>IF(Table1[[#This Row],[حقوق سال 1403]]=2388728,3463656,(Table1[[#This Row],[حقوق سال 1403]]*1.32+310535))</f>
        <v>4270535</v>
      </c>
      <c r="J40" s="13">
        <v>31</v>
      </c>
      <c r="K40" s="13">
        <v>31</v>
      </c>
      <c r="L40" s="13">
        <f>Table1[[#This Row],[حقوق روزانه سال 1404]]*Table1[[#This Row],[روزهای کارکرد فرد]]</f>
        <v>132386585</v>
      </c>
      <c r="M40" s="13">
        <f>(Table1[[#This Row],[پایه سنوات روزانه تا پایان 30 اسفند 1403
با احتساب افزایش حقوق 1404]]+Table1[[#This Row],[پایه سنوات سال 1404]])*Table1[[#This Row],[روزهای کارکرد فرد]]</f>
        <v>17978713.952247839</v>
      </c>
      <c r="N40" s="13" t="s">
        <v>35</v>
      </c>
      <c r="O40" s="13">
        <f t="shared" si="8"/>
        <v>5000000</v>
      </c>
      <c r="P40" s="13"/>
      <c r="Q40" s="13">
        <f>(((3463656*P40)*3)/Table1[[#This Row],[تعداد روزهای ماه]]*Table1[[#This Row],[روزهای کارکرد فرد]])</f>
        <v>0</v>
      </c>
      <c r="R40" s="13">
        <f>MIN(9000000,((9000000/30)*Table1[[#This Row],[روزهای کارکرد فرد]]))</f>
        <v>9000000</v>
      </c>
      <c r="S40" s="13">
        <f>MIN(22000000,((22000000/30)*Table1[[#This Row],[روزهای کارکرد فرد]]))</f>
        <v>22000000</v>
      </c>
      <c r="T40" s="13">
        <f>Table1[[#This Row],[خواربار]]+Table1[[#This Row],[مسکن]]+Table1[[#This Row],[حق تاهل ]]</f>
        <v>36000000</v>
      </c>
      <c r="U40" s="21"/>
      <c r="V40" s="13">
        <f t="shared" si="9"/>
        <v>0</v>
      </c>
      <c r="W40" s="13">
        <f t="shared" si="10"/>
        <v>0</v>
      </c>
      <c r="X40" s="13">
        <f>((Table1[[#This Row],[حقوق روزانه سال 1404]]*30)/366)*Table1[[#This Row],[تعداد روز کارکرد از ابتدای سال تا امروز (جهت محاسبه عیدی)]]</f>
        <v>0</v>
      </c>
      <c r="Y40" s="13"/>
      <c r="Z40" s="13">
        <f t="shared" si="11"/>
        <v>0</v>
      </c>
      <c r="AA40" s="13">
        <f>IF(Table1[[#This Row],[اضافه کار ]]&lt;10,Table1[[#This Row],[اضافه کار ]],10)</f>
        <v>0</v>
      </c>
      <c r="AB40" s="13">
        <v>0</v>
      </c>
      <c r="AC40" s="13">
        <v>0</v>
      </c>
      <c r="AD40"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40" s="13">
        <f>L40+Q40+R40+AB40+AC40+Z40+S40+O40+Table1[[#This Row],[پایه سنوات ماهانه]]+Table1[[#This Row],[عيدي]]+Table1[[#This Row],[سنوات]]</f>
        <v>186365298.95224783</v>
      </c>
      <c r="AF40" s="13">
        <f>MAX((AC40+Z40+Table1[[#This Row],[پایه سنوات ماهانه]]+S40+R40+Q40+O40+L40-AG40),0)</f>
        <v>173319728.95224786</v>
      </c>
      <c r="AG40" s="13">
        <f t="shared" si="12"/>
        <v>13045570</v>
      </c>
      <c r="AH40" s="13">
        <f t="shared" si="13"/>
        <v>37273060</v>
      </c>
      <c r="AI40" s="13">
        <f t="shared" si="14"/>
        <v>5590959</v>
      </c>
      <c r="AJ40" s="13">
        <f t="shared" si="15"/>
        <v>55909589</v>
      </c>
      <c r="AK40" s="13">
        <f t="shared" si="16"/>
        <v>0</v>
      </c>
      <c r="AL40" s="13">
        <f t="shared" si="17"/>
        <v>13045570</v>
      </c>
      <c r="AM40" s="22">
        <f>Table1[[#This Row],[حقوق و مزایای مشمول و غیر مشمول بیمه]]-Table1[[#This Row],[جمع کسورات]]</f>
        <v>173319728.95224783</v>
      </c>
    </row>
    <row r="41" spans="1:39" s="24" customFormat="1" ht="21.6">
      <c r="A41" s="19">
        <v>39</v>
      </c>
      <c r="B41" s="13" t="s">
        <v>129</v>
      </c>
      <c r="C41" s="20"/>
      <c r="D41" s="20"/>
      <c r="E41" s="13">
        <v>3000000</v>
      </c>
      <c r="F41" s="13">
        <v>5</v>
      </c>
      <c r="G41" s="13">
        <f t="shared" si="0"/>
        <v>579958.51458863996</v>
      </c>
      <c r="H41" s="13"/>
      <c r="I41" s="13">
        <f>IF(Table1[[#This Row],[حقوق سال 1403]]=2388728,3463656,(Table1[[#This Row],[حقوق سال 1403]]*1.32+310535))</f>
        <v>4270535</v>
      </c>
      <c r="J41" s="13">
        <v>31</v>
      </c>
      <c r="K41" s="13">
        <v>31</v>
      </c>
      <c r="L41" s="13">
        <f>Table1[[#This Row],[حقوق روزانه سال 1404]]*Table1[[#This Row],[روزهای کارکرد فرد]]</f>
        <v>132386585</v>
      </c>
      <c r="M41" s="13">
        <f>(Table1[[#This Row],[پایه سنوات روزانه تا پایان 30 اسفند 1403
با احتساب افزایش حقوق 1404]]+Table1[[#This Row],[پایه سنوات سال 1404]])*Table1[[#This Row],[روزهای کارکرد فرد]]</f>
        <v>17978713.952247839</v>
      </c>
      <c r="N41" s="13" t="s">
        <v>35</v>
      </c>
      <c r="O41" s="13">
        <f t="shared" si="8"/>
        <v>5000000</v>
      </c>
      <c r="P41" s="13"/>
      <c r="Q41" s="13">
        <f>(((3463656*P41)*3)/Table1[[#This Row],[تعداد روزهای ماه]]*Table1[[#This Row],[روزهای کارکرد فرد]])</f>
        <v>0</v>
      </c>
      <c r="R41" s="13">
        <f>MIN(9000000,((9000000/30)*Table1[[#This Row],[روزهای کارکرد فرد]]))</f>
        <v>9000000</v>
      </c>
      <c r="S41" s="13">
        <f>MIN(22000000,((22000000/30)*Table1[[#This Row],[روزهای کارکرد فرد]]))</f>
        <v>22000000</v>
      </c>
      <c r="T41" s="13">
        <f>Table1[[#This Row],[خواربار]]+Table1[[#This Row],[مسکن]]+Table1[[#This Row],[حق تاهل ]]</f>
        <v>36000000</v>
      </c>
      <c r="U41" s="21"/>
      <c r="V41" s="13">
        <f t="shared" si="9"/>
        <v>0</v>
      </c>
      <c r="W41" s="13">
        <f t="shared" si="10"/>
        <v>0</v>
      </c>
      <c r="X41" s="13">
        <f>((Table1[[#This Row],[حقوق روزانه سال 1404]]*30)/366)*Table1[[#This Row],[تعداد روز کارکرد از ابتدای سال تا امروز (جهت محاسبه عیدی)]]</f>
        <v>0</v>
      </c>
      <c r="Y41" s="13"/>
      <c r="Z41" s="13">
        <f t="shared" si="11"/>
        <v>0</v>
      </c>
      <c r="AA41" s="13">
        <f>IF(Table1[[#This Row],[اضافه کار ]]&lt;10,Table1[[#This Row],[اضافه کار ]],10)</f>
        <v>0</v>
      </c>
      <c r="AB41" s="13">
        <v>0</v>
      </c>
      <c r="AC41" s="13">
        <v>0</v>
      </c>
      <c r="AD41"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41" s="13">
        <f>L41+Q41+R41+AB41+AC41+Z41+S41+O41+Table1[[#This Row],[پایه سنوات ماهانه]]+Table1[[#This Row],[عيدي]]+Table1[[#This Row],[سنوات]]</f>
        <v>186365298.95224783</v>
      </c>
      <c r="AF41" s="13">
        <f>MAX((AC41+Z41+Table1[[#This Row],[پایه سنوات ماهانه]]+S41+R41+Q41+O41+L41-AG41),0)</f>
        <v>173319728.95224786</v>
      </c>
      <c r="AG41" s="13">
        <f t="shared" si="12"/>
        <v>13045570</v>
      </c>
      <c r="AH41" s="13">
        <f t="shared" si="13"/>
        <v>37273060</v>
      </c>
      <c r="AI41" s="13">
        <f t="shared" si="14"/>
        <v>5590959</v>
      </c>
      <c r="AJ41" s="13">
        <f t="shared" si="15"/>
        <v>55909589</v>
      </c>
      <c r="AK41" s="13">
        <f t="shared" si="16"/>
        <v>0</v>
      </c>
      <c r="AL41" s="13">
        <f t="shared" si="17"/>
        <v>13045570</v>
      </c>
      <c r="AM41" s="22">
        <f>Table1[[#This Row],[حقوق و مزایای مشمول و غیر مشمول بیمه]]-Table1[[#This Row],[جمع کسورات]]</f>
        <v>173319728.95224783</v>
      </c>
    </row>
    <row r="42" spans="1:39" s="24" customFormat="1" ht="21.6">
      <c r="A42" s="19">
        <v>40</v>
      </c>
      <c r="B42" s="13" t="s">
        <v>130</v>
      </c>
      <c r="C42" s="20"/>
      <c r="D42" s="20"/>
      <c r="E42" s="13">
        <v>3000000</v>
      </c>
      <c r="F42" s="13">
        <v>5</v>
      </c>
      <c r="G42" s="13">
        <f t="shared" si="0"/>
        <v>579958.51458863996</v>
      </c>
      <c r="H42" s="13"/>
      <c r="I42" s="13">
        <f>IF(Table1[[#This Row],[حقوق سال 1403]]=2388728,3463656,(Table1[[#This Row],[حقوق سال 1403]]*1.32+310535))</f>
        <v>4270535</v>
      </c>
      <c r="J42" s="13">
        <v>31</v>
      </c>
      <c r="K42" s="13">
        <v>31</v>
      </c>
      <c r="L42" s="13">
        <f>Table1[[#This Row],[حقوق روزانه سال 1404]]*Table1[[#This Row],[روزهای کارکرد فرد]]</f>
        <v>132386585</v>
      </c>
      <c r="M42" s="13">
        <f>(Table1[[#This Row],[پایه سنوات روزانه تا پایان 30 اسفند 1403
با احتساب افزایش حقوق 1404]]+Table1[[#This Row],[پایه سنوات سال 1404]])*Table1[[#This Row],[روزهای کارکرد فرد]]</f>
        <v>17978713.952247839</v>
      </c>
      <c r="N42" s="13" t="s">
        <v>35</v>
      </c>
      <c r="O42" s="13">
        <f t="shared" si="8"/>
        <v>5000000</v>
      </c>
      <c r="P42" s="13"/>
      <c r="Q42" s="13">
        <f>(((3463656*P42)*3)/Table1[[#This Row],[تعداد روزهای ماه]]*Table1[[#This Row],[روزهای کارکرد فرد]])</f>
        <v>0</v>
      </c>
      <c r="R42" s="13">
        <f>MIN(9000000,((9000000/30)*Table1[[#This Row],[روزهای کارکرد فرد]]))</f>
        <v>9000000</v>
      </c>
      <c r="S42" s="13">
        <f>MIN(22000000,((22000000/30)*Table1[[#This Row],[روزهای کارکرد فرد]]))</f>
        <v>22000000</v>
      </c>
      <c r="T42" s="13">
        <f>Table1[[#This Row],[خواربار]]+Table1[[#This Row],[مسکن]]+Table1[[#This Row],[حق تاهل ]]</f>
        <v>36000000</v>
      </c>
      <c r="U42" s="21"/>
      <c r="V42" s="13">
        <f t="shared" si="9"/>
        <v>0</v>
      </c>
      <c r="W42" s="13">
        <f t="shared" si="10"/>
        <v>0</v>
      </c>
      <c r="X42" s="13">
        <f>((Table1[[#This Row],[حقوق روزانه سال 1404]]*30)/366)*Table1[[#This Row],[تعداد روز کارکرد از ابتدای سال تا امروز (جهت محاسبه عیدی)]]</f>
        <v>0</v>
      </c>
      <c r="Y42" s="13"/>
      <c r="Z42" s="13">
        <f t="shared" si="11"/>
        <v>0</v>
      </c>
      <c r="AA42" s="13">
        <f>IF(Table1[[#This Row],[اضافه کار ]]&lt;10,Table1[[#This Row],[اضافه کار ]],10)</f>
        <v>0</v>
      </c>
      <c r="AB42" s="13">
        <v>0</v>
      </c>
      <c r="AC42" s="13">
        <v>0</v>
      </c>
      <c r="AD42"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42" s="13">
        <f>L42+Q42+R42+AB42+AC42+Z42+S42+O42+Table1[[#This Row],[پایه سنوات ماهانه]]+Table1[[#This Row],[عيدي]]+Table1[[#This Row],[سنوات]]</f>
        <v>186365298.95224783</v>
      </c>
      <c r="AF42" s="13">
        <f>MAX((AC42+Z42+Table1[[#This Row],[پایه سنوات ماهانه]]+S42+R42+Q42+O42+L42-AG42),0)</f>
        <v>173319728.95224786</v>
      </c>
      <c r="AG42" s="13">
        <f t="shared" si="12"/>
        <v>13045570</v>
      </c>
      <c r="AH42" s="13">
        <f t="shared" si="13"/>
        <v>37273060</v>
      </c>
      <c r="AI42" s="13">
        <f t="shared" si="14"/>
        <v>5590959</v>
      </c>
      <c r="AJ42" s="13">
        <f t="shared" si="15"/>
        <v>55909589</v>
      </c>
      <c r="AK42" s="13">
        <f t="shared" si="16"/>
        <v>0</v>
      </c>
      <c r="AL42" s="13">
        <f t="shared" si="17"/>
        <v>13045570</v>
      </c>
      <c r="AM42" s="22">
        <f>Table1[[#This Row],[حقوق و مزایای مشمول و غیر مشمول بیمه]]-Table1[[#This Row],[جمع کسورات]]</f>
        <v>173319728.95224783</v>
      </c>
    </row>
    <row r="43" spans="1:39" s="24" customFormat="1" ht="21.6">
      <c r="A43" s="19">
        <v>41</v>
      </c>
      <c r="B43" s="13" t="s">
        <v>131</v>
      </c>
      <c r="C43" s="20"/>
      <c r="D43" s="20"/>
      <c r="E43" s="13">
        <v>3000000</v>
      </c>
      <c r="F43" s="13">
        <v>5</v>
      </c>
      <c r="G43" s="13">
        <f t="shared" si="0"/>
        <v>579958.51458863996</v>
      </c>
      <c r="H43" s="13"/>
      <c r="I43" s="13">
        <f>IF(Table1[[#This Row],[حقوق سال 1403]]=2388728,3463656,(Table1[[#This Row],[حقوق سال 1403]]*1.32+310535))</f>
        <v>4270535</v>
      </c>
      <c r="J43" s="13">
        <v>31</v>
      </c>
      <c r="K43" s="13">
        <v>31</v>
      </c>
      <c r="L43" s="13">
        <f>Table1[[#This Row],[حقوق روزانه سال 1404]]*Table1[[#This Row],[روزهای کارکرد فرد]]</f>
        <v>132386585</v>
      </c>
      <c r="M43" s="13">
        <f>(Table1[[#This Row],[پایه سنوات روزانه تا پایان 30 اسفند 1403
با احتساب افزایش حقوق 1404]]+Table1[[#This Row],[پایه سنوات سال 1404]])*Table1[[#This Row],[روزهای کارکرد فرد]]</f>
        <v>17978713.952247839</v>
      </c>
      <c r="N43" s="13" t="s">
        <v>35</v>
      </c>
      <c r="O43" s="13">
        <f t="shared" si="8"/>
        <v>5000000</v>
      </c>
      <c r="P43" s="13"/>
      <c r="Q43" s="13">
        <f>(((3463656*P43)*3)/Table1[[#This Row],[تعداد روزهای ماه]]*Table1[[#This Row],[روزهای کارکرد فرد]])</f>
        <v>0</v>
      </c>
      <c r="R43" s="13">
        <f>MIN(9000000,((9000000/30)*Table1[[#This Row],[روزهای کارکرد فرد]]))</f>
        <v>9000000</v>
      </c>
      <c r="S43" s="13">
        <f>MIN(22000000,((22000000/30)*Table1[[#This Row],[روزهای کارکرد فرد]]))</f>
        <v>22000000</v>
      </c>
      <c r="T43" s="13">
        <f>Table1[[#This Row],[خواربار]]+Table1[[#This Row],[مسکن]]+Table1[[#This Row],[حق تاهل ]]</f>
        <v>36000000</v>
      </c>
      <c r="U43" s="21"/>
      <c r="V43" s="13">
        <f t="shared" si="9"/>
        <v>0</v>
      </c>
      <c r="W43" s="13">
        <f t="shared" si="10"/>
        <v>0</v>
      </c>
      <c r="X43" s="13">
        <f>((Table1[[#This Row],[حقوق روزانه سال 1404]]*30)/366)*Table1[[#This Row],[تعداد روز کارکرد از ابتدای سال تا امروز (جهت محاسبه عیدی)]]</f>
        <v>0</v>
      </c>
      <c r="Y43" s="13"/>
      <c r="Z43" s="13">
        <f t="shared" si="11"/>
        <v>0</v>
      </c>
      <c r="AA43" s="13">
        <f>IF(Table1[[#This Row],[اضافه کار ]]&lt;10,Table1[[#This Row],[اضافه کار ]],10)</f>
        <v>0</v>
      </c>
      <c r="AB43" s="13">
        <v>0</v>
      </c>
      <c r="AC43" s="13">
        <v>0</v>
      </c>
      <c r="AD43"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43" s="13">
        <f>L43+Q43+R43+AB43+AC43+Z43+S43+O43+Table1[[#This Row],[پایه سنوات ماهانه]]+Table1[[#This Row],[عيدي]]+Table1[[#This Row],[سنوات]]</f>
        <v>186365298.95224783</v>
      </c>
      <c r="AF43" s="13">
        <f>MAX((AC43+Z43+Table1[[#This Row],[پایه سنوات ماهانه]]+S43+R43+Q43+O43+L43-AG43),0)</f>
        <v>173319728.95224786</v>
      </c>
      <c r="AG43" s="13">
        <f t="shared" si="12"/>
        <v>13045570</v>
      </c>
      <c r="AH43" s="13">
        <f t="shared" si="13"/>
        <v>37273060</v>
      </c>
      <c r="AI43" s="13">
        <f t="shared" si="14"/>
        <v>5590959</v>
      </c>
      <c r="AJ43" s="13">
        <f t="shared" si="15"/>
        <v>55909589</v>
      </c>
      <c r="AK43" s="13">
        <f t="shared" si="16"/>
        <v>0</v>
      </c>
      <c r="AL43" s="13">
        <f t="shared" si="17"/>
        <v>13045570</v>
      </c>
      <c r="AM43" s="22">
        <f>Table1[[#This Row],[حقوق و مزایای مشمول و غیر مشمول بیمه]]-Table1[[#This Row],[جمع کسورات]]</f>
        <v>173319728.95224783</v>
      </c>
    </row>
    <row r="44" spans="1:39" s="24" customFormat="1" ht="21.6">
      <c r="A44" s="19">
        <v>42</v>
      </c>
      <c r="B44" s="13" t="s">
        <v>132</v>
      </c>
      <c r="C44" s="20"/>
      <c r="D44" s="20"/>
      <c r="E44" s="13">
        <v>3000000</v>
      </c>
      <c r="F44" s="13">
        <v>5</v>
      </c>
      <c r="G44" s="13">
        <f t="shared" si="0"/>
        <v>579958.51458863996</v>
      </c>
      <c r="H44" s="13"/>
      <c r="I44" s="13">
        <f>IF(Table1[[#This Row],[حقوق سال 1403]]=2388728,3463656,(Table1[[#This Row],[حقوق سال 1403]]*1.32+310535))</f>
        <v>4270535</v>
      </c>
      <c r="J44" s="13">
        <v>31</v>
      </c>
      <c r="K44" s="13">
        <v>31</v>
      </c>
      <c r="L44" s="13">
        <f>Table1[[#This Row],[حقوق روزانه سال 1404]]*Table1[[#This Row],[روزهای کارکرد فرد]]</f>
        <v>132386585</v>
      </c>
      <c r="M44" s="13">
        <f>(Table1[[#This Row],[پایه سنوات روزانه تا پایان 30 اسفند 1403
با احتساب افزایش حقوق 1404]]+Table1[[#This Row],[پایه سنوات سال 1404]])*Table1[[#This Row],[روزهای کارکرد فرد]]</f>
        <v>17978713.952247839</v>
      </c>
      <c r="N44" s="13" t="s">
        <v>35</v>
      </c>
      <c r="O44" s="13">
        <f t="shared" si="8"/>
        <v>5000000</v>
      </c>
      <c r="P44" s="13"/>
      <c r="Q44" s="13">
        <f>(((3463656*P44)*3)/Table1[[#This Row],[تعداد روزهای ماه]]*Table1[[#This Row],[روزهای کارکرد فرد]])</f>
        <v>0</v>
      </c>
      <c r="R44" s="13">
        <f>MIN(9000000,((9000000/30)*Table1[[#This Row],[روزهای کارکرد فرد]]))</f>
        <v>9000000</v>
      </c>
      <c r="S44" s="13">
        <f>MIN(22000000,((22000000/30)*Table1[[#This Row],[روزهای کارکرد فرد]]))</f>
        <v>22000000</v>
      </c>
      <c r="T44" s="13">
        <f>Table1[[#This Row],[خواربار]]+Table1[[#This Row],[مسکن]]+Table1[[#This Row],[حق تاهل ]]</f>
        <v>36000000</v>
      </c>
      <c r="U44" s="21"/>
      <c r="V44" s="13">
        <f t="shared" si="9"/>
        <v>0</v>
      </c>
      <c r="W44" s="13">
        <f t="shared" si="10"/>
        <v>0</v>
      </c>
      <c r="X44" s="13">
        <f>((Table1[[#This Row],[حقوق روزانه سال 1404]]*30)/366)*Table1[[#This Row],[تعداد روز کارکرد از ابتدای سال تا امروز (جهت محاسبه عیدی)]]</f>
        <v>0</v>
      </c>
      <c r="Y44" s="13"/>
      <c r="Z44" s="13">
        <f t="shared" si="11"/>
        <v>0</v>
      </c>
      <c r="AA44" s="13">
        <f>IF(Table1[[#This Row],[اضافه کار ]]&lt;10,Table1[[#This Row],[اضافه کار ]],10)</f>
        <v>0</v>
      </c>
      <c r="AB44" s="13">
        <v>0</v>
      </c>
      <c r="AC44" s="13">
        <v>0</v>
      </c>
      <c r="AD44"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44" s="13">
        <f>L44+Q44+R44+AB44+AC44+Z44+S44+O44+Table1[[#This Row],[پایه سنوات ماهانه]]+Table1[[#This Row],[عيدي]]+Table1[[#This Row],[سنوات]]</f>
        <v>186365298.95224783</v>
      </c>
      <c r="AF44" s="13">
        <f>MAX((AC44+Z44+Table1[[#This Row],[پایه سنوات ماهانه]]+S44+R44+Q44+O44+L44-AG44),0)</f>
        <v>173319728.95224786</v>
      </c>
      <c r="AG44" s="13">
        <f t="shared" si="12"/>
        <v>13045570</v>
      </c>
      <c r="AH44" s="13">
        <f t="shared" si="13"/>
        <v>37273060</v>
      </c>
      <c r="AI44" s="13">
        <f t="shared" si="14"/>
        <v>5590959</v>
      </c>
      <c r="AJ44" s="13">
        <f t="shared" si="15"/>
        <v>55909589</v>
      </c>
      <c r="AK44" s="13">
        <f t="shared" si="16"/>
        <v>0</v>
      </c>
      <c r="AL44" s="13">
        <f t="shared" si="17"/>
        <v>13045570</v>
      </c>
      <c r="AM44" s="22">
        <f>Table1[[#This Row],[حقوق و مزایای مشمول و غیر مشمول بیمه]]-Table1[[#This Row],[جمع کسورات]]</f>
        <v>173319728.95224783</v>
      </c>
    </row>
    <row r="45" spans="1:39" s="24" customFormat="1" ht="21.6">
      <c r="A45" s="19">
        <v>43</v>
      </c>
      <c r="B45" s="13" t="s">
        <v>133</v>
      </c>
      <c r="C45" s="20"/>
      <c r="D45" s="20"/>
      <c r="E45" s="13">
        <v>3000000</v>
      </c>
      <c r="F45" s="13">
        <v>5</v>
      </c>
      <c r="G45" s="13">
        <f t="shared" si="0"/>
        <v>579958.51458863996</v>
      </c>
      <c r="H45" s="13"/>
      <c r="I45" s="13">
        <f>IF(Table1[[#This Row],[حقوق سال 1403]]=2388728,3463656,(Table1[[#This Row],[حقوق سال 1403]]*1.32+310535))</f>
        <v>4270535</v>
      </c>
      <c r="J45" s="13">
        <v>31</v>
      </c>
      <c r="K45" s="13">
        <v>31</v>
      </c>
      <c r="L45" s="13">
        <f>Table1[[#This Row],[حقوق روزانه سال 1404]]*Table1[[#This Row],[روزهای کارکرد فرد]]</f>
        <v>132386585</v>
      </c>
      <c r="M45" s="13">
        <f>(Table1[[#This Row],[پایه سنوات روزانه تا پایان 30 اسفند 1403
با احتساب افزایش حقوق 1404]]+Table1[[#This Row],[پایه سنوات سال 1404]])*Table1[[#This Row],[روزهای کارکرد فرد]]</f>
        <v>17978713.952247839</v>
      </c>
      <c r="N45" s="13" t="s">
        <v>35</v>
      </c>
      <c r="O45" s="13">
        <f t="shared" si="8"/>
        <v>5000000</v>
      </c>
      <c r="P45" s="13"/>
      <c r="Q45" s="13">
        <f>(((3463656*P45)*3)/Table1[[#This Row],[تعداد روزهای ماه]]*Table1[[#This Row],[روزهای کارکرد فرد]])</f>
        <v>0</v>
      </c>
      <c r="R45" s="13">
        <f>MIN(9000000,((9000000/30)*Table1[[#This Row],[روزهای کارکرد فرد]]))</f>
        <v>9000000</v>
      </c>
      <c r="S45" s="13">
        <f>MIN(22000000,((22000000/30)*Table1[[#This Row],[روزهای کارکرد فرد]]))</f>
        <v>22000000</v>
      </c>
      <c r="T45" s="13">
        <f>Table1[[#This Row],[خواربار]]+Table1[[#This Row],[مسکن]]+Table1[[#This Row],[حق تاهل ]]</f>
        <v>36000000</v>
      </c>
      <c r="U45" s="21"/>
      <c r="V45" s="13">
        <f t="shared" si="9"/>
        <v>0</v>
      </c>
      <c r="W45" s="13">
        <f t="shared" si="10"/>
        <v>0</v>
      </c>
      <c r="X45" s="13">
        <f>((Table1[[#This Row],[حقوق روزانه سال 1404]]*30)/366)*Table1[[#This Row],[تعداد روز کارکرد از ابتدای سال تا امروز (جهت محاسبه عیدی)]]</f>
        <v>0</v>
      </c>
      <c r="Y45" s="13"/>
      <c r="Z45" s="13">
        <f t="shared" si="11"/>
        <v>0</v>
      </c>
      <c r="AA45" s="13">
        <f>IF(Table1[[#This Row],[اضافه کار ]]&lt;10,Table1[[#This Row],[اضافه کار ]],10)</f>
        <v>0</v>
      </c>
      <c r="AB45" s="13">
        <v>0</v>
      </c>
      <c r="AC45" s="13">
        <v>0</v>
      </c>
      <c r="AD45"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45" s="13">
        <f>L45+Q45+R45+AB45+AC45+Z45+S45+O45+Table1[[#This Row],[پایه سنوات ماهانه]]+Table1[[#This Row],[عيدي]]+Table1[[#This Row],[سنوات]]</f>
        <v>186365298.95224783</v>
      </c>
      <c r="AF45" s="13">
        <f>MAX((AC45+Z45+Table1[[#This Row],[پایه سنوات ماهانه]]+S45+R45+Q45+O45+L45-AG45),0)</f>
        <v>173319728.95224786</v>
      </c>
      <c r="AG45" s="13">
        <f t="shared" si="12"/>
        <v>13045570</v>
      </c>
      <c r="AH45" s="13">
        <f t="shared" si="13"/>
        <v>37273060</v>
      </c>
      <c r="AI45" s="13">
        <f t="shared" si="14"/>
        <v>5590959</v>
      </c>
      <c r="AJ45" s="13">
        <f t="shared" si="15"/>
        <v>55909589</v>
      </c>
      <c r="AK45" s="13">
        <f t="shared" si="16"/>
        <v>0</v>
      </c>
      <c r="AL45" s="13">
        <f t="shared" si="17"/>
        <v>13045570</v>
      </c>
      <c r="AM45" s="22">
        <f>Table1[[#This Row],[حقوق و مزایای مشمول و غیر مشمول بیمه]]-Table1[[#This Row],[جمع کسورات]]</f>
        <v>173319728.95224783</v>
      </c>
    </row>
    <row r="46" spans="1:39" s="24" customFormat="1" ht="21.6">
      <c r="A46" s="19">
        <v>44</v>
      </c>
      <c r="B46" s="13" t="s">
        <v>134</v>
      </c>
      <c r="C46" s="20"/>
      <c r="D46" s="20"/>
      <c r="E46" s="13">
        <v>3000000</v>
      </c>
      <c r="F46" s="13">
        <v>5</v>
      </c>
      <c r="G46" s="13">
        <f t="shared" si="0"/>
        <v>579958.51458863996</v>
      </c>
      <c r="H46" s="13"/>
      <c r="I46" s="13">
        <f>IF(Table1[[#This Row],[حقوق سال 1403]]=2388728,3463656,(Table1[[#This Row],[حقوق سال 1403]]*1.32+310535))</f>
        <v>4270535</v>
      </c>
      <c r="J46" s="13">
        <v>31</v>
      </c>
      <c r="K46" s="13">
        <v>31</v>
      </c>
      <c r="L46" s="13">
        <f>Table1[[#This Row],[حقوق روزانه سال 1404]]*Table1[[#This Row],[روزهای کارکرد فرد]]</f>
        <v>132386585</v>
      </c>
      <c r="M46" s="13">
        <f>(Table1[[#This Row],[پایه سنوات روزانه تا پایان 30 اسفند 1403
با احتساب افزایش حقوق 1404]]+Table1[[#This Row],[پایه سنوات سال 1404]])*Table1[[#This Row],[روزهای کارکرد فرد]]</f>
        <v>17978713.952247839</v>
      </c>
      <c r="N46" s="13" t="s">
        <v>35</v>
      </c>
      <c r="O46" s="13">
        <f t="shared" si="8"/>
        <v>5000000</v>
      </c>
      <c r="P46" s="13"/>
      <c r="Q46" s="13">
        <f>(((3463656*P46)*3)/Table1[[#This Row],[تعداد روزهای ماه]]*Table1[[#This Row],[روزهای کارکرد فرد]])</f>
        <v>0</v>
      </c>
      <c r="R46" s="13">
        <f>MIN(9000000,((9000000/30)*Table1[[#This Row],[روزهای کارکرد فرد]]))</f>
        <v>9000000</v>
      </c>
      <c r="S46" s="13">
        <f>MIN(22000000,((22000000/30)*Table1[[#This Row],[روزهای کارکرد فرد]]))</f>
        <v>22000000</v>
      </c>
      <c r="T46" s="13">
        <f>Table1[[#This Row],[خواربار]]+Table1[[#This Row],[مسکن]]+Table1[[#This Row],[حق تاهل ]]</f>
        <v>36000000</v>
      </c>
      <c r="U46" s="21"/>
      <c r="V46" s="13">
        <f t="shared" si="9"/>
        <v>0</v>
      </c>
      <c r="W46" s="13">
        <f t="shared" si="10"/>
        <v>0</v>
      </c>
      <c r="X46" s="13">
        <f>((Table1[[#This Row],[حقوق روزانه سال 1404]]*30)/366)*Table1[[#This Row],[تعداد روز کارکرد از ابتدای سال تا امروز (جهت محاسبه عیدی)]]</f>
        <v>0</v>
      </c>
      <c r="Y46" s="13"/>
      <c r="Z46" s="13">
        <f t="shared" si="11"/>
        <v>0</v>
      </c>
      <c r="AA46" s="13">
        <f>IF(Table1[[#This Row],[اضافه کار ]]&lt;10,Table1[[#This Row],[اضافه کار ]],10)</f>
        <v>0</v>
      </c>
      <c r="AB46" s="13">
        <v>0</v>
      </c>
      <c r="AC46" s="13">
        <v>0</v>
      </c>
      <c r="AD46"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46" s="13">
        <f>L46+Q46+R46+AB46+AC46+Z46+S46+O46+Table1[[#This Row],[پایه سنوات ماهانه]]+Table1[[#This Row],[عيدي]]+Table1[[#This Row],[سنوات]]</f>
        <v>186365298.95224783</v>
      </c>
      <c r="AF46" s="13">
        <f>MAX((AC46+Z46+Table1[[#This Row],[پایه سنوات ماهانه]]+S46+R46+Q46+O46+L46-AG46),0)</f>
        <v>173319728.95224786</v>
      </c>
      <c r="AG46" s="13">
        <f t="shared" si="12"/>
        <v>13045570</v>
      </c>
      <c r="AH46" s="13">
        <f t="shared" si="13"/>
        <v>37273060</v>
      </c>
      <c r="AI46" s="13">
        <f t="shared" si="14"/>
        <v>5590959</v>
      </c>
      <c r="AJ46" s="13">
        <f t="shared" si="15"/>
        <v>55909589</v>
      </c>
      <c r="AK46" s="13">
        <f t="shared" si="16"/>
        <v>0</v>
      </c>
      <c r="AL46" s="13">
        <f t="shared" si="17"/>
        <v>13045570</v>
      </c>
      <c r="AM46" s="22">
        <f>Table1[[#This Row],[حقوق و مزایای مشمول و غیر مشمول بیمه]]-Table1[[#This Row],[جمع کسورات]]</f>
        <v>173319728.95224783</v>
      </c>
    </row>
    <row r="47" spans="1:39" s="24" customFormat="1" ht="21.6">
      <c r="A47" s="19">
        <v>45</v>
      </c>
      <c r="B47" s="13" t="s">
        <v>135</v>
      </c>
      <c r="C47" s="20"/>
      <c r="D47" s="20"/>
      <c r="E47" s="13">
        <v>3000000</v>
      </c>
      <c r="F47" s="13">
        <v>5</v>
      </c>
      <c r="G47" s="13">
        <f t="shared" si="0"/>
        <v>579958.51458863996</v>
      </c>
      <c r="H47" s="13"/>
      <c r="I47" s="13">
        <f>IF(Table1[[#This Row],[حقوق سال 1403]]=2388728,3463656,(Table1[[#This Row],[حقوق سال 1403]]*1.32+310535))</f>
        <v>4270535</v>
      </c>
      <c r="J47" s="13">
        <v>31</v>
      </c>
      <c r="K47" s="13">
        <v>31</v>
      </c>
      <c r="L47" s="13">
        <f>Table1[[#This Row],[حقوق روزانه سال 1404]]*Table1[[#This Row],[روزهای کارکرد فرد]]</f>
        <v>132386585</v>
      </c>
      <c r="M47" s="13">
        <f>(Table1[[#This Row],[پایه سنوات روزانه تا پایان 30 اسفند 1403
با احتساب افزایش حقوق 1404]]+Table1[[#This Row],[پایه سنوات سال 1404]])*Table1[[#This Row],[روزهای کارکرد فرد]]</f>
        <v>17978713.952247839</v>
      </c>
      <c r="N47" s="13" t="s">
        <v>35</v>
      </c>
      <c r="O47" s="13">
        <f t="shared" si="8"/>
        <v>5000000</v>
      </c>
      <c r="P47" s="13"/>
      <c r="Q47" s="13">
        <f>(((3463656*P47)*3)/Table1[[#This Row],[تعداد روزهای ماه]]*Table1[[#This Row],[روزهای کارکرد فرد]])</f>
        <v>0</v>
      </c>
      <c r="R47" s="13">
        <f>MIN(9000000,((9000000/30)*Table1[[#This Row],[روزهای کارکرد فرد]]))</f>
        <v>9000000</v>
      </c>
      <c r="S47" s="13">
        <f>MIN(22000000,((22000000/30)*Table1[[#This Row],[روزهای کارکرد فرد]]))</f>
        <v>22000000</v>
      </c>
      <c r="T47" s="13">
        <f>Table1[[#This Row],[خواربار]]+Table1[[#This Row],[مسکن]]+Table1[[#This Row],[حق تاهل ]]</f>
        <v>36000000</v>
      </c>
      <c r="U47" s="21"/>
      <c r="V47" s="13">
        <f t="shared" si="9"/>
        <v>0</v>
      </c>
      <c r="W47" s="13">
        <f t="shared" si="10"/>
        <v>0</v>
      </c>
      <c r="X47" s="13">
        <f>((Table1[[#This Row],[حقوق روزانه سال 1404]]*30)/366)*Table1[[#This Row],[تعداد روز کارکرد از ابتدای سال تا امروز (جهت محاسبه عیدی)]]</f>
        <v>0</v>
      </c>
      <c r="Y47" s="13"/>
      <c r="Z47" s="13">
        <f t="shared" si="11"/>
        <v>0</v>
      </c>
      <c r="AA47" s="13">
        <f>IF(Table1[[#This Row],[اضافه کار ]]&lt;10,Table1[[#This Row],[اضافه کار ]],10)</f>
        <v>0</v>
      </c>
      <c r="AB47" s="13">
        <v>0</v>
      </c>
      <c r="AC47" s="13">
        <v>0</v>
      </c>
      <c r="AD47"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47" s="13">
        <f>L47+Q47+R47+AB47+AC47+Z47+S47+O47+Table1[[#This Row],[پایه سنوات ماهانه]]+Table1[[#This Row],[عيدي]]+Table1[[#This Row],[سنوات]]</f>
        <v>186365298.95224783</v>
      </c>
      <c r="AF47" s="13">
        <f>MAX((AC47+Z47+Table1[[#This Row],[پایه سنوات ماهانه]]+S47+R47+Q47+O47+L47-AG47),0)</f>
        <v>173319728.95224786</v>
      </c>
      <c r="AG47" s="13">
        <f t="shared" si="12"/>
        <v>13045570</v>
      </c>
      <c r="AH47" s="13">
        <f t="shared" si="13"/>
        <v>37273060</v>
      </c>
      <c r="AI47" s="13">
        <f t="shared" si="14"/>
        <v>5590959</v>
      </c>
      <c r="AJ47" s="13">
        <f t="shared" si="15"/>
        <v>55909589</v>
      </c>
      <c r="AK47" s="13">
        <f t="shared" si="16"/>
        <v>0</v>
      </c>
      <c r="AL47" s="13">
        <f t="shared" si="17"/>
        <v>13045570</v>
      </c>
      <c r="AM47" s="22">
        <f>Table1[[#This Row],[حقوق و مزایای مشمول و غیر مشمول بیمه]]-Table1[[#This Row],[جمع کسورات]]</f>
        <v>173319728.95224783</v>
      </c>
    </row>
    <row r="48" spans="1:39" s="24" customFormat="1" ht="21.6">
      <c r="A48" s="19">
        <v>46</v>
      </c>
      <c r="B48" s="13" t="s">
        <v>136</v>
      </c>
      <c r="C48" s="20"/>
      <c r="D48" s="20"/>
      <c r="E48" s="13">
        <v>3000000</v>
      </c>
      <c r="F48" s="13">
        <v>5</v>
      </c>
      <c r="G48" s="13">
        <f t="shared" si="0"/>
        <v>579958.51458863996</v>
      </c>
      <c r="H48" s="13"/>
      <c r="I48" s="13">
        <f>IF(Table1[[#This Row],[حقوق سال 1403]]=2388728,3463656,(Table1[[#This Row],[حقوق سال 1403]]*1.32+310535))</f>
        <v>4270535</v>
      </c>
      <c r="J48" s="13">
        <v>31</v>
      </c>
      <c r="K48" s="13">
        <v>31</v>
      </c>
      <c r="L48" s="13">
        <f>Table1[[#This Row],[حقوق روزانه سال 1404]]*Table1[[#This Row],[روزهای کارکرد فرد]]</f>
        <v>132386585</v>
      </c>
      <c r="M48" s="13">
        <f>(Table1[[#This Row],[پایه سنوات روزانه تا پایان 30 اسفند 1403
با احتساب افزایش حقوق 1404]]+Table1[[#This Row],[پایه سنوات سال 1404]])*Table1[[#This Row],[روزهای کارکرد فرد]]</f>
        <v>17978713.952247839</v>
      </c>
      <c r="N48" s="13" t="s">
        <v>35</v>
      </c>
      <c r="O48" s="13">
        <f t="shared" si="8"/>
        <v>5000000</v>
      </c>
      <c r="P48" s="13"/>
      <c r="Q48" s="13">
        <f>(((3463656*P48)*3)/Table1[[#This Row],[تعداد روزهای ماه]]*Table1[[#This Row],[روزهای کارکرد فرد]])</f>
        <v>0</v>
      </c>
      <c r="R48" s="13">
        <f>MIN(9000000,((9000000/30)*Table1[[#This Row],[روزهای کارکرد فرد]]))</f>
        <v>9000000</v>
      </c>
      <c r="S48" s="13">
        <f>MIN(22000000,((22000000/30)*Table1[[#This Row],[روزهای کارکرد فرد]]))</f>
        <v>22000000</v>
      </c>
      <c r="T48" s="13">
        <f>Table1[[#This Row],[خواربار]]+Table1[[#This Row],[مسکن]]+Table1[[#This Row],[حق تاهل ]]</f>
        <v>36000000</v>
      </c>
      <c r="U48" s="21"/>
      <c r="V48" s="13">
        <f t="shared" si="9"/>
        <v>0</v>
      </c>
      <c r="W48" s="13">
        <f t="shared" si="10"/>
        <v>0</v>
      </c>
      <c r="X48" s="13">
        <f>((Table1[[#This Row],[حقوق روزانه سال 1404]]*30)/366)*Table1[[#This Row],[تعداد روز کارکرد از ابتدای سال تا امروز (جهت محاسبه عیدی)]]</f>
        <v>0</v>
      </c>
      <c r="Y48" s="13"/>
      <c r="Z48" s="13">
        <f t="shared" si="11"/>
        <v>0</v>
      </c>
      <c r="AA48" s="13">
        <f>IF(Table1[[#This Row],[اضافه کار ]]&lt;10,Table1[[#This Row],[اضافه کار ]],10)</f>
        <v>0</v>
      </c>
      <c r="AB48" s="13">
        <v>0</v>
      </c>
      <c r="AC48" s="13">
        <v>0</v>
      </c>
      <c r="AD48"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48" s="13">
        <f>L48+Q48+R48+AB48+AC48+Z48+S48+O48+Table1[[#This Row],[پایه سنوات ماهانه]]+Table1[[#This Row],[عيدي]]+Table1[[#This Row],[سنوات]]</f>
        <v>186365298.95224783</v>
      </c>
      <c r="AF48" s="13">
        <f>MAX((AC48+Z48+Table1[[#This Row],[پایه سنوات ماهانه]]+S48+R48+Q48+O48+L48-AG48),0)</f>
        <v>173319728.95224786</v>
      </c>
      <c r="AG48" s="13">
        <f t="shared" si="12"/>
        <v>13045570</v>
      </c>
      <c r="AH48" s="13">
        <f t="shared" si="13"/>
        <v>37273060</v>
      </c>
      <c r="AI48" s="13">
        <f t="shared" si="14"/>
        <v>5590959</v>
      </c>
      <c r="AJ48" s="13">
        <f t="shared" si="15"/>
        <v>55909589</v>
      </c>
      <c r="AK48" s="13">
        <f t="shared" si="16"/>
        <v>0</v>
      </c>
      <c r="AL48" s="13">
        <f t="shared" si="17"/>
        <v>13045570</v>
      </c>
      <c r="AM48" s="22">
        <f>Table1[[#This Row],[حقوق و مزایای مشمول و غیر مشمول بیمه]]-Table1[[#This Row],[جمع کسورات]]</f>
        <v>173319728.95224783</v>
      </c>
    </row>
    <row r="49" spans="1:39" s="24" customFormat="1" ht="21.6">
      <c r="A49" s="19">
        <v>47</v>
      </c>
      <c r="B49" s="13" t="s">
        <v>137</v>
      </c>
      <c r="C49" s="20"/>
      <c r="D49" s="20"/>
      <c r="E49" s="13">
        <v>3000000</v>
      </c>
      <c r="F49" s="13">
        <v>5</v>
      </c>
      <c r="G49" s="13">
        <f t="shared" si="0"/>
        <v>579958.51458863996</v>
      </c>
      <c r="H49" s="13"/>
      <c r="I49" s="13">
        <f>IF(Table1[[#This Row],[حقوق سال 1403]]=2388728,3463656,(Table1[[#This Row],[حقوق سال 1403]]*1.32+310535))</f>
        <v>4270535</v>
      </c>
      <c r="J49" s="13">
        <v>31</v>
      </c>
      <c r="K49" s="13">
        <v>31</v>
      </c>
      <c r="L49" s="13">
        <f>Table1[[#This Row],[حقوق روزانه سال 1404]]*Table1[[#This Row],[روزهای کارکرد فرد]]</f>
        <v>132386585</v>
      </c>
      <c r="M49" s="13">
        <f>(Table1[[#This Row],[پایه سنوات روزانه تا پایان 30 اسفند 1403
با احتساب افزایش حقوق 1404]]+Table1[[#This Row],[پایه سنوات سال 1404]])*Table1[[#This Row],[روزهای کارکرد فرد]]</f>
        <v>17978713.952247839</v>
      </c>
      <c r="N49" s="13" t="s">
        <v>35</v>
      </c>
      <c r="O49" s="13">
        <f t="shared" si="8"/>
        <v>5000000</v>
      </c>
      <c r="P49" s="13"/>
      <c r="Q49" s="13">
        <f>(((3463656*P49)*3)/Table1[[#This Row],[تعداد روزهای ماه]]*Table1[[#This Row],[روزهای کارکرد فرد]])</f>
        <v>0</v>
      </c>
      <c r="R49" s="13">
        <f>MIN(9000000,((9000000/30)*Table1[[#This Row],[روزهای کارکرد فرد]]))</f>
        <v>9000000</v>
      </c>
      <c r="S49" s="13">
        <f>MIN(22000000,((22000000/30)*Table1[[#This Row],[روزهای کارکرد فرد]]))</f>
        <v>22000000</v>
      </c>
      <c r="T49" s="13">
        <f>Table1[[#This Row],[خواربار]]+Table1[[#This Row],[مسکن]]+Table1[[#This Row],[حق تاهل ]]</f>
        <v>36000000</v>
      </c>
      <c r="U49" s="21"/>
      <c r="V49" s="13">
        <f t="shared" si="9"/>
        <v>0</v>
      </c>
      <c r="W49" s="13">
        <f t="shared" si="10"/>
        <v>0</v>
      </c>
      <c r="X49" s="13">
        <f>((Table1[[#This Row],[حقوق روزانه سال 1404]]*30)/366)*Table1[[#This Row],[تعداد روز کارکرد از ابتدای سال تا امروز (جهت محاسبه عیدی)]]</f>
        <v>0</v>
      </c>
      <c r="Y49" s="13"/>
      <c r="Z49" s="13">
        <f t="shared" si="11"/>
        <v>0</v>
      </c>
      <c r="AA49" s="13">
        <f>IF(Table1[[#This Row],[اضافه کار ]]&lt;10,Table1[[#This Row],[اضافه کار ]],10)</f>
        <v>0</v>
      </c>
      <c r="AB49" s="13">
        <v>0</v>
      </c>
      <c r="AC49" s="13">
        <v>0</v>
      </c>
      <c r="AD49"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186365298.95224783</v>
      </c>
      <c r="AE49" s="13">
        <f>L49+Q49+R49+AB49+AC49+Z49+S49+O49+Table1[[#This Row],[پایه سنوات ماهانه]]+Table1[[#This Row],[عيدي]]+Table1[[#This Row],[سنوات]]</f>
        <v>186365298.95224783</v>
      </c>
      <c r="AF49" s="13">
        <f>MAX((AC49+Z49+Table1[[#This Row],[پایه سنوات ماهانه]]+S49+R49+Q49+O49+L49-AG49),0)</f>
        <v>173319728.95224786</v>
      </c>
      <c r="AG49" s="13">
        <f t="shared" si="12"/>
        <v>13045570</v>
      </c>
      <c r="AH49" s="13">
        <f t="shared" si="13"/>
        <v>37273060</v>
      </c>
      <c r="AI49" s="13">
        <f t="shared" si="14"/>
        <v>5590959</v>
      </c>
      <c r="AJ49" s="13">
        <f t="shared" si="15"/>
        <v>55909589</v>
      </c>
      <c r="AK49" s="13">
        <f t="shared" si="16"/>
        <v>0</v>
      </c>
      <c r="AL49" s="13">
        <f t="shared" si="17"/>
        <v>13045570</v>
      </c>
      <c r="AM49" s="22">
        <f>Table1[[#This Row],[حقوق و مزایای مشمول و غیر مشمول بیمه]]-Table1[[#This Row],[جمع کسورات]]</f>
        <v>173319728.95224783</v>
      </c>
    </row>
    <row r="50" spans="1:39" s="33" customFormat="1" ht="64.8">
      <c r="A50" s="19"/>
      <c r="B50" s="15"/>
      <c r="C50" s="15"/>
      <c r="D50" s="15"/>
      <c r="E50" s="13"/>
      <c r="F50" s="13"/>
      <c r="G50" s="13">
        <f t="shared" si="0"/>
        <v>0</v>
      </c>
      <c r="H50" s="13"/>
      <c r="I50" s="13">
        <f>IF(Table1[[#This Row],[حقوق سال 1403]]=2388728,3463656,(Table1[[#This Row],[حقوق سال 1403]]*1.32+310535))</f>
        <v>310535</v>
      </c>
      <c r="J50" s="13">
        <v>31</v>
      </c>
      <c r="K50" s="13">
        <f>SUM(K3:K48)</f>
        <v>1426</v>
      </c>
      <c r="L50" s="13">
        <f>Table1[[#This Row],[حقوق روزانه سال 1404]]*Table1[[#This Row],[روزهای کارکرد فرد]]</f>
        <v>442822910</v>
      </c>
      <c r="M50" s="13">
        <f>(Table1[[#This Row],[پایه سنوات روزانه تا پایان 30 اسفند 1403
با احتساب افزایش حقوق 1404]]+Table1[[#This Row],[پایه سنوات سال 1404]])*Table1[[#This Row],[روزهای کارکرد فرد]]</f>
        <v>0</v>
      </c>
      <c r="N50" s="16">
        <f>SUM(N3:N16)</f>
        <v>0</v>
      </c>
      <c r="O50" s="16">
        <f>SUM(O3:O48)</f>
        <v>230000000</v>
      </c>
      <c r="P50" s="16">
        <v>0</v>
      </c>
      <c r="Q50" s="13">
        <f>(((2388728*P50)*3)/Table1[[#This Row],[تعداد روزهای ماه]]*Table1[[#This Row],[روزهای کارکرد فرد]])</f>
        <v>0</v>
      </c>
      <c r="R50" s="16">
        <f>SUM(R3:R16)</f>
        <v>126000000</v>
      </c>
      <c r="S50" s="16">
        <f>SUM(S3:S16)</f>
        <v>308000000</v>
      </c>
      <c r="T50" s="17">
        <f>Table1[[#This Row],[خواربار]]+Table1[[#This Row],[مسکن]]+Table1[[#This Row],[حق تاهل ]]</f>
        <v>664000000</v>
      </c>
      <c r="U50" s="14"/>
      <c r="V50" s="13">
        <f t="shared" si="1"/>
        <v>0</v>
      </c>
      <c r="W50" s="16">
        <f>SUM(W3:W16)</f>
        <v>0</v>
      </c>
      <c r="X50" s="13">
        <f>((Table1[[#This Row],[حقوق روزانه سال 1404]]*30)/366)*Table1[[#This Row],[تعداد روز کارکرد از ابتدای سال تا امروز (جهت محاسبه عیدی)]]</f>
        <v>0</v>
      </c>
      <c r="Y50" s="16"/>
      <c r="Z50" s="16">
        <f>SUM(Z3:Z16)</f>
        <v>6615441.2005457012</v>
      </c>
      <c r="AA50" s="16">
        <f>IF(Table1[[#This Row],[اضافه کار ]]&lt;10,Table1[[#This Row],[اضافه کار ]],10)</f>
        <v>10</v>
      </c>
      <c r="AB50" s="16">
        <f>SUM(AB3:AB16)</f>
        <v>800000000</v>
      </c>
      <c r="AC50" s="16">
        <f>SUM(AC3:AC16)</f>
        <v>0</v>
      </c>
      <c r="AD50" s="13">
        <f>IF(Table1[[#This Row],[حقوق ماهیانه ]]+Table1[[#This Row],[پایه سنوات ماهانه]]+Table1[[#This Row],[جمع مزایا]]+Table1[[#This Row],[اضافه کار ]]+Table1[[#This Row],[حق مسئولیست]]+Table1[[#This Row],[پاداش]]&lt;(3463656*7*Table1[[#This Row],[تعداد روزهای ماه]]),Table1[[#This Row],[حقوق ماهیانه ]]+Table1[[#This Row],[پایه سنوات ماهانه]]+Table1[[#This Row],[جمع مزایا]]+Table1[[#This Row],[اضافه کار ]]+Table1[[#This Row],[حق مسئولیست]]+Table1[[#This Row],[پاداش]],(3463656*7*Table1[[#This Row],[تعداد روزهای ماه]]))</f>
        <v>751613352</v>
      </c>
      <c r="AE50" s="13">
        <f>L50+Q50+R50+AB50+AC50+Z50+S50+O50+Table1[[#This Row],[پایه سنوات ماهانه]]+Table1[[#This Row],[عيدي]]+Table1[[#This Row],[سنوات]]</f>
        <v>1913438351.2005458</v>
      </c>
      <c r="AF50" s="13">
        <f>MAX((AC50+Z50+Table1[[#This Row],[پایه سنوات ماهانه]]+S50+R50+Q50+O50+L50-AG50),0)</f>
        <v>950809176.20054579</v>
      </c>
      <c r="AG50" s="16">
        <f t="shared" ref="AG50:AM50" si="18">SUM(AG3:AG16)</f>
        <v>162629175</v>
      </c>
      <c r="AH50" s="16">
        <f t="shared" si="18"/>
        <v>464654824</v>
      </c>
      <c r="AI50" s="16">
        <f t="shared" si="18"/>
        <v>69698230</v>
      </c>
      <c r="AJ50" s="16">
        <f t="shared" si="18"/>
        <v>696982229</v>
      </c>
      <c r="AK50" s="13">
        <f t="shared" si="16"/>
        <v>193242753</v>
      </c>
      <c r="AL50" s="16">
        <f t="shared" si="18"/>
        <v>162629175</v>
      </c>
      <c r="AM50" s="18">
        <f t="shared" si="18"/>
        <v>3096749572.6267753</v>
      </c>
    </row>
    <row r="51" spans="1:39" ht="21.6">
      <c r="A51" s="34"/>
      <c r="B51" s="35"/>
      <c r="C51" s="35"/>
      <c r="D51" s="35"/>
      <c r="E51" s="35"/>
      <c r="F51" s="35"/>
      <c r="G51" s="35"/>
      <c r="H51" s="35"/>
      <c r="I51" s="35"/>
      <c r="J51" s="35"/>
      <c r="K51" s="35"/>
      <c r="L51" s="35"/>
      <c r="M51" s="35"/>
      <c r="N51" s="35"/>
      <c r="O51" s="35"/>
      <c r="P51" s="35"/>
      <c r="Q51" s="35"/>
      <c r="R51" s="35"/>
      <c r="S51" s="35"/>
      <c r="T51" s="35"/>
      <c r="U51" s="36"/>
      <c r="V51" s="35"/>
      <c r="W51" s="35"/>
      <c r="X51" s="35"/>
      <c r="Y51" s="35"/>
      <c r="Z51" s="35"/>
      <c r="AA51" s="35"/>
      <c r="AB51" s="35"/>
      <c r="AC51" s="35"/>
      <c r="AD51" s="35"/>
      <c r="AE51" s="35"/>
      <c r="AF51" s="35"/>
      <c r="AG51" s="35"/>
      <c r="AH51" s="35"/>
      <c r="AI51" s="35"/>
      <c r="AJ51" s="35"/>
      <c r="AK51" s="35"/>
      <c r="AL51" s="35"/>
      <c r="AM51" s="37"/>
    </row>
    <row r="54" spans="1:39">
      <c r="M54" s="38">
        <f>65000000000*0.087</f>
        <v>5655000000</v>
      </c>
    </row>
    <row r="55" spans="1:39">
      <c r="M55" s="38">
        <f>M54*0.18</f>
        <v>1017900000</v>
      </c>
    </row>
    <row r="79" spans="54:55">
      <c r="BB79" s="44"/>
      <c r="BC79" s="43"/>
    </row>
    <row r="80" spans="54:55">
      <c r="BB80" s="45"/>
      <c r="BC80" s="45"/>
    </row>
    <row r="81" spans="54:55">
      <c r="BB81" s="45"/>
      <c r="BC81" s="46"/>
    </row>
    <row r="82" spans="54:55">
      <c r="BB82" s="45"/>
      <c r="BC82" s="46"/>
    </row>
    <row r="83" spans="54:55">
      <c r="BB83" s="45"/>
      <c r="BC83" s="46"/>
    </row>
    <row r="84" spans="54:55">
      <c r="BB84" s="45"/>
      <c r="BC84" s="46"/>
    </row>
    <row r="85" spans="54:55">
      <c r="BB85" s="45"/>
      <c r="BC85" s="46"/>
    </row>
    <row r="86" spans="54:55">
      <c r="BB86" s="45"/>
      <c r="BC86" s="46"/>
    </row>
    <row r="87" spans="54:55">
      <c r="BB87" s="45"/>
      <c r="BC87" s="46"/>
    </row>
    <row r="88" spans="54:55">
      <c r="BB88" s="45"/>
      <c r="BC88" s="46"/>
    </row>
    <row r="89" spans="54:55">
      <c r="BB89" s="45"/>
      <c r="BC89" s="46"/>
    </row>
    <row r="90" spans="54:55">
      <c r="BB90" s="45"/>
      <c r="BC90" s="46"/>
    </row>
    <row r="91" spans="54:55">
      <c r="BB91" s="45"/>
      <c r="BC91" s="46"/>
    </row>
    <row r="92" spans="54:55">
      <c r="BB92" s="45"/>
      <c r="BC92" s="46"/>
    </row>
    <row r="93" spans="54:55">
      <c r="BB93" s="45"/>
      <c r="BC93" s="46"/>
    </row>
    <row r="94" spans="54:55">
      <c r="BB94" s="45"/>
      <c r="BC94" s="46"/>
    </row>
    <row r="95" spans="54:55">
      <c r="BB95" s="45"/>
      <c r="BC95" s="46"/>
    </row>
    <row r="96" spans="54:55">
      <c r="BB96" s="45"/>
      <c r="BC96" s="46"/>
    </row>
    <row r="97" spans="54:55">
      <c r="BB97" s="45"/>
      <c r="BC97" s="46"/>
    </row>
    <row r="98" spans="54:55">
      <c r="BB98" s="45"/>
      <c r="BC98" s="46"/>
    </row>
    <row r="99" spans="54:55">
      <c r="BB99" s="45"/>
      <c r="BC99" s="46"/>
    </row>
    <row r="100" spans="54:55">
      <c r="BB100" s="45"/>
      <c r="BC100" s="46"/>
    </row>
    <row r="101" spans="54:55">
      <c r="BB101" s="45"/>
      <c r="BC101" s="46"/>
    </row>
    <row r="102" spans="54:55">
      <c r="BB102" s="45"/>
      <c r="BC102" s="46"/>
    </row>
    <row r="103" spans="54:55">
      <c r="BB103" s="45"/>
      <c r="BC103" s="46"/>
    </row>
    <row r="104" spans="54:55">
      <c r="BB104" s="45"/>
      <c r="BC104" s="46"/>
    </row>
    <row r="105" spans="54:55">
      <c r="BB105" s="45"/>
      <c r="BC105" s="46"/>
    </row>
    <row r="106" spans="54:55">
      <c r="BB106" s="45"/>
      <c r="BC106" s="46"/>
    </row>
    <row r="107" spans="54:55">
      <c r="BB107" s="45"/>
      <c r="BC107" s="46"/>
    </row>
    <row r="108" spans="54:55">
      <c r="BB108" s="45"/>
      <c r="BC108" s="46"/>
    </row>
    <row r="109" spans="54:55">
      <c r="BB109" s="45"/>
      <c r="BC109" s="46"/>
    </row>
    <row r="110" spans="54:55">
      <c r="BB110" s="45"/>
      <c r="BC110" s="46"/>
    </row>
    <row r="111" spans="54:55">
      <c r="BB111" s="45"/>
      <c r="BC111" s="46"/>
    </row>
    <row r="160" spans="52:57" ht="21.6">
      <c r="AZ160" s="24"/>
      <c r="BA160" s="24" t="s">
        <v>36</v>
      </c>
      <c r="BB160" s="24"/>
      <c r="BC160" s="24"/>
      <c r="BD160" s="24"/>
      <c r="BE160" s="24"/>
    </row>
    <row r="161" spans="52:57" ht="21.6">
      <c r="AZ161" s="24"/>
      <c r="BA161" s="24" t="s">
        <v>35</v>
      </c>
      <c r="BB161" s="24"/>
      <c r="BC161" s="24"/>
      <c r="BD161" s="24"/>
      <c r="BE161" s="24"/>
    </row>
    <row r="162" spans="52:57">
      <c r="AZ162" s="49" t="s">
        <v>89</v>
      </c>
      <c r="BA162" s="50"/>
      <c r="BB162" s="51"/>
      <c r="BC162" s="49" t="s">
        <v>4</v>
      </c>
      <c r="BD162" s="50"/>
      <c r="BE162" s="51"/>
    </row>
    <row r="163" spans="52:57" ht="34.799999999999997">
      <c r="AZ163" s="25" t="s">
        <v>37</v>
      </c>
      <c r="BA163" s="26" t="s">
        <v>38</v>
      </c>
      <c r="BB163" s="27">
        <v>0</v>
      </c>
      <c r="BC163" s="25" t="s">
        <v>37</v>
      </c>
      <c r="BD163" s="28" t="s">
        <v>38</v>
      </c>
      <c r="BE163" s="27">
        <v>0</v>
      </c>
    </row>
    <row r="164" spans="52:57" ht="21">
      <c r="AZ164" s="29">
        <v>1404</v>
      </c>
      <c r="BA164" s="30"/>
      <c r="BB164" s="27">
        <v>0</v>
      </c>
      <c r="BC164" s="29">
        <v>1403</v>
      </c>
      <c r="BD164" s="30"/>
      <c r="BE164" s="27">
        <v>0</v>
      </c>
    </row>
    <row r="165" spans="52:57">
      <c r="AZ165" s="29">
        <v>1403</v>
      </c>
      <c r="BA165" s="27">
        <v>1</v>
      </c>
      <c r="BB165" s="31">
        <v>94000</v>
      </c>
      <c r="BC165" s="29">
        <v>1402</v>
      </c>
      <c r="BD165" s="27">
        <v>1</v>
      </c>
      <c r="BE165" s="31">
        <v>70000</v>
      </c>
    </row>
    <row r="166" spans="52:57">
      <c r="AZ166" s="29">
        <v>1402</v>
      </c>
      <c r="BA166" s="27">
        <v>2</v>
      </c>
      <c r="BB166" s="31">
        <v>186400</v>
      </c>
      <c r="BC166" s="29">
        <v>1401</v>
      </c>
      <c r="BD166" s="27">
        <v>2</v>
      </c>
      <c r="BE166" s="31">
        <v>155400</v>
      </c>
    </row>
    <row r="167" spans="52:57">
      <c r="AZ167" s="29">
        <v>1401</v>
      </c>
      <c r="BA167" s="27">
        <v>3</v>
      </c>
      <c r="BB167" s="31">
        <v>299128</v>
      </c>
      <c r="BC167" s="29">
        <v>1400</v>
      </c>
      <c r="BD167" s="27">
        <v>3</v>
      </c>
      <c r="BE167" s="31">
        <v>258734</v>
      </c>
    </row>
    <row r="168" spans="52:57">
      <c r="AZ168" s="29">
        <v>1400</v>
      </c>
      <c r="BA168" s="27">
        <v>4</v>
      </c>
      <c r="BB168" s="31">
        <v>435529</v>
      </c>
      <c r="BC168" s="29">
        <v>1399</v>
      </c>
      <c r="BD168" s="27">
        <v>4</v>
      </c>
      <c r="BE168" s="31">
        <v>353801.27999999997</v>
      </c>
    </row>
    <row r="169" spans="52:57">
      <c r="AZ169" s="29">
        <v>1399</v>
      </c>
      <c r="BA169" s="27">
        <v>5</v>
      </c>
      <c r="BB169" s="31">
        <v>561017</v>
      </c>
      <c r="BC169" s="29">
        <v>1398</v>
      </c>
      <c r="BD169" s="27">
        <v>5</v>
      </c>
      <c r="BE169" s="31">
        <v>439362.51105199999</v>
      </c>
    </row>
    <row r="170" spans="52:57">
      <c r="AZ170" s="29">
        <v>1398</v>
      </c>
      <c r="BA170" s="27">
        <v>6</v>
      </c>
      <c r="BB170" s="31">
        <v>673958</v>
      </c>
      <c r="BC170" s="29">
        <v>1397</v>
      </c>
      <c r="BD170" s="27">
        <v>6</v>
      </c>
      <c r="BE170" s="31">
        <v>508236.91586013191</v>
      </c>
    </row>
    <row r="171" spans="52:57">
      <c r="AZ171" s="29">
        <v>1397</v>
      </c>
      <c r="BA171" s="27">
        <v>7</v>
      </c>
      <c r="BB171" s="31">
        <v>764873</v>
      </c>
      <c r="BC171" s="29">
        <v>1396</v>
      </c>
      <c r="BD171" s="27">
        <v>7</v>
      </c>
      <c r="BE171" s="31">
        <v>564941.74389537191</v>
      </c>
    </row>
    <row r="172" spans="52:57">
      <c r="AZ172" s="29">
        <v>1396</v>
      </c>
      <c r="BA172" s="27">
        <v>8</v>
      </c>
      <c r="BB172" s="31">
        <v>839722</v>
      </c>
      <c r="BC172" s="29">
        <v>1395</v>
      </c>
      <c r="BD172" s="27">
        <v>8</v>
      </c>
      <c r="BE172" s="31">
        <v>627543.87404627691</v>
      </c>
    </row>
    <row r="173" spans="52:57">
      <c r="AZ173" s="29">
        <v>1395</v>
      </c>
      <c r="BA173" s="27">
        <v>9</v>
      </c>
      <c r="BB173" s="31">
        <v>922359</v>
      </c>
      <c r="BC173" s="29">
        <v>1394</v>
      </c>
      <c r="BD173" s="27">
        <v>9</v>
      </c>
      <c r="BE173" s="31">
        <v>668788.29749661463</v>
      </c>
    </row>
    <row r="174" spans="52:57">
      <c r="AZ174" s="29">
        <v>1394</v>
      </c>
      <c r="BA174" s="27">
        <v>10</v>
      </c>
      <c r="BB174" s="31">
        <v>976799</v>
      </c>
      <c r="BC174" s="29">
        <v>1393</v>
      </c>
      <c r="BD174" s="27">
        <v>10</v>
      </c>
      <c r="BE174" s="31">
        <v>715804.33375612402</v>
      </c>
    </row>
    <row r="175" spans="52:57">
      <c r="AZ175" s="29">
        <v>1393</v>
      </c>
      <c r="BA175" s="27">
        <v>11</v>
      </c>
      <c r="BB175" s="31">
        <v>1038860</v>
      </c>
      <c r="BC175" s="29">
        <v>1392</v>
      </c>
      <c r="BD175" s="27">
        <v>11</v>
      </c>
      <c r="BE175" s="31">
        <v>743309.569968116</v>
      </c>
    </row>
    <row r="176" spans="52:57">
      <c r="AZ176" s="29">
        <v>1392</v>
      </c>
      <c r="BA176" s="27">
        <v>12</v>
      </c>
      <c r="BB176" s="31">
        <v>1075168</v>
      </c>
      <c r="BC176" s="29">
        <v>1391</v>
      </c>
      <c r="BD176" s="27">
        <v>12</v>
      </c>
      <c r="BE176" s="31">
        <v>761793.98606164381</v>
      </c>
    </row>
    <row r="177" spans="52:57">
      <c r="AZ177" s="29">
        <v>1391</v>
      </c>
      <c r="BA177" s="27">
        <v>13</v>
      </c>
      <c r="BB177" s="31">
        <v>1099568</v>
      </c>
      <c r="BC177" s="29">
        <v>1390</v>
      </c>
      <c r="BD177" s="27">
        <v>13</v>
      </c>
      <c r="BE177" s="31">
        <v>778737.5421742039</v>
      </c>
    </row>
    <row r="178" spans="52:57">
      <c r="AZ178" s="29">
        <v>1390</v>
      </c>
      <c r="BA178" s="27">
        <v>14</v>
      </c>
      <c r="BB178" s="31">
        <v>1121934</v>
      </c>
      <c r="BC178" s="29">
        <v>1389</v>
      </c>
      <c r="BD178" s="27">
        <v>14</v>
      </c>
      <c r="BE178" s="31">
        <v>793242.87923641992</v>
      </c>
    </row>
    <row r="179" spans="52:57">
      <c r="AZ179" s="29">
        <v>1389</v>
      </c>
      <c r="BA179" s="27">
        <v>15</v>
      </c>
      <c r="BB179" s="31">
        <v>1141081</v>
      </c>
      <c r="BC179" s="29">
        <v>1388</v>
      </c>
      <c r="BD179" s="27">
        <v>15</v>
      </c>
      <c r="BE179" s="31">
        <v>808616.0569775718</v>
      </c>
    </row>
    <row r="180" spans="52:57">
      <c r="AZ180" s="29">
        <v>1388</v>
      </c>
      <c r="BA180" s="27">
        <v>16</v>
      </c>
      <c r="BB180" s="31">
        <v>1161373</v>
      </c>
      <c r="BC180" s="29">
        <v>1387</v>
      </c>
      <c r="BD180" s="27">
        <v>16</v>
      </c>
      <c r="BE180" s="31">
        <v>818897.31236782402</v>
      </c>
    </row>
    <row r="181" spans="52:57">
      <c r="AZ181" s="29">
        <v>1387</v>
      </c>
      <c r="BA181" s="27">
        <v>17</v>
      </c>
      <c r="BB181" s="31">
        <v>1174944</v>
      </c>
      <c r="BC181" s="29">
        <v>1386</v>
      </c>
      <c r="BD181" s="27">
        <v>17</v>
      </c>
      <c r="BE181" s="31">
        <v>829692.18775173195</v>
      </c>
    </row>
    <row r="182" spans="52:57">
      <c r="AZ182" s="29">
        <v>1386</v>
      </c>
      <c r="BA182" s="27">
        <v>18</v>
      </c>
      <c r="BB182" s="31">
        <v>1189193</v>
      </c>
      <c r="BC182" s="29">
        <v>1385</v>
      </c>
      <c r="BD182" s="27">
        <v>18</v>
      </c>
      <c r="BE182" s="31">
        <v>841027.24968069175</v>
      </c>
    </row>
    <row r="183" spans="52:57">
      <c r="AZ183" s="29">
        <v>1385</v>
      </c>
      <c r="BA183" s="27">
        <v>19</v>
      </c>
      <c r="BB183" s="31">
        <v>1204156</v>
      </c>
      <c r="BC183" s="29">
        <v>1384</v>
      </c>
      <c r="BD183" s="27">
        <v>19</v>
      </c>
      <c r="BE183" s="31">
        <v>853495.81780254783</v>
      </c>
    </row>
    <row r="184" spans="52:57">
      <c r="AZ184" s="29">
        <v>1384</v>
      </c>
      <c r="BA184" s="27">
        <v>20</v>
      </c>
      <c r="BB184" s="31">
        <v>1220615</v>
      </c>
      <c r="BC184" s="29">
        <v>1383</v>
      </c>
      <c r="BD184" s="27">
        <v>20</v>
      </c>
      <c r="BE184" s="31">
        <v>864686.23961835192</v>
      </c>
    </row>
    <row r="185" spans="52:57">
      <c r="AZ185" s="29">
        <v>1383</v>
      </c>
      <c r="BA185" s="27">
        <v>21</v>
      </c>
      <c r="BB185" s="31">
        <v>1235386</v>
      </c>
      <c r="BC185" s="29">
        <v>1382</v>
      </c>
      <c r="BD185" s="27">
        <v>21</v>
      </c>
      <c r="BE185" s="31">
        <v>874563.09305957588</v>
      </c>
    </row>
    <row r="186" spans="52:57">
      <c r="AZ186" s="29">
        <v>1382</v>
      </c>
      <c r="BA186" s="27">
        <v>22</v>
      </c>
      <c r="BB186" s="31">
        <v>1248422</v>
      </c>
      <c r="BC186" s="29">
        <v>1381</v>
      </c>
      <c r="BD186" s="27">
        <v>22</v>
      </c>
      <c r="BE186" s="31">
        <v>882352.99629669182</v>
      </c>
    </row>
    <row r="187" spans="52:57">
      <c r="AZ187" s="29">
        <v>1381</v>
      </c>
      <c r="BA187" s="27">
        <v>23</v>
      </c>
      <c r="BB187" s="31">
        <v>1258705</v>
      </c>
      <c r="BC187" s="29">
        <v>1380</v>
      </c>
      <c r="BD187" s="27">
        <v>23</v>
      </c>
      <c r="BE187" s="31">
        <v>889033.00805326388</v>
      </c>
    </row>
    <row r="188" spans="52:57">
      <c r="AZ188" s="29">
        <v>1380</v>
      </c>
      <c r="BA188" s="27">
        <v>24</v>
      </c>
      <c r="BB188" s="31">
        <v>1267521</v>
      </c>
      <c r="BC188" s="29">
        <v>1379</v>
      </c>
      <c r="BD188" s="27">
        <v>24</v>
      </c>
      <c r="BE188" s="31">
        <v>894697.58717869991</v>
      </c>
    </row>
    <row r="189" spans="52:57">
      <c r="AZ189" s="29">
        <v>1379</v>
      </c>
      <c r="BA189" s="27">
        <v>25</v>
      </c>
      <c r="BB189" s="31">
        <v>1275000</v>
      </c>
      <c r="BC189" s="29">
        <v>1378</v>
      </c>
      <c r="BD189" s="27">
        <v>25</v>
      </c>
      <c r="BE189" s="31">
        <v>899491.37378615583</v>
      </c>
    </row>
    <row r="190" spans="52:57">
      <c r="AZ190" s="29">
        <v>1378</v>
      </c>
      <c r="BA190" s="27">
        <v>26</v>
      </c>
      <c r="BB190" s="31">
        <v>1281327</v>
      </c>
      <c r="BC190" s="29">
        <v>1377</v>
      </c>
      <c r="BD190" s="27">
        <v>26</v>
      </c>
      <c r="BE190" s="31">
        <v>902419.59811780392</v>
      </c>
    </row>
    <row r="191" spans="52:57">
      <c r="AZ191" s="29">
        <v>1377</v>
      </c>
      <c r="BA191" s="27">
        <v>27</v>
      </c>
      <c r="BB191" s="31">
        <v>1285196</v>
      </c>
      <c r="BC191" s="29">
        <v>1376</v>
      </c>
      <c r="BD191" s="27">
        <v>27</v>
      </c>
      <c r="BE191" s="31">
        <v>904899.142914764</v>
      </c>
    </row>
    <row r="192" spans="52:57">
      <c r="AZ192" s="29">
        <v>1376</v>
      </c>
      <c r="BA192" s="27">
        <v>28</v>
      </c>
      <c r="BB192" s="31">
        <v>1288468</v>
      </c>
      <c r="BC192" s="29">
        <v>1375</v>
      </c>
      <c r="BD192" s="27">
        <v>28</v>
      </c>
      <c r="BE192" s="31">
        <v>907402.3024240759</v>
      </c>
    </row>
    <row r="193" spans="52:57">
      <c r="AZ193" s="29">
        <v>1375</v>
      </c>
      <c r="BA193" s="38">
        <v>29</v>
      </c>
      <c r="BB193" s="38">
        <v>1291772</v>
      </c>
      <c r="BD193" s="38">
        <v>29</v>
      </c>
      <c r="BE193" s="38">
        <v>910430.88928321982</v>
      </c>
    </row>
    <row r="194" spans="52:57">
      <c r="AZ194" s="29">
        <v>1374</v>
      </c>
      <c r="BA194" s="38">
        <v>30</v>
      </c>
      <c r="BB194" s="38">
        <v>1295768</v>
      </c>
      <c r="BD194" s="38">
        <v>30</v>
      </c>
      <c r="BE194" s="38">
        <v>913031.4594809839</v>
      </c>
    </row>
  </sheetData>
  <mergeCells count="5">
    <mergeCell ref="AZ162:BB162"/>
    <mergeCell ref="BC162:BE162"/>
    <mergeCell ref="G1:I1"/>
    <mergeCell ref="J1:N1"/>
    <mergeCell ref="O1:T1"/>
  </mergeCells>
  <phoneticPr fontId="5" type="noConversion"/>
  <dataValidations disablePrompts="1" count="1">
    <dataValidation type="list" allowBlank="1" showInputMessage="1" showErrorMessage="1" sqref="N3:N49" xr:uid="{B1DAE2C6-6DE4-4771-A248-4F65376AD9A1}">
      <formula1>$BA$160:$BA$161</formula1>
    </dataValidation>
  </dataValidations>
  <hyperlinks>
    <hyperlink ref="J1" r:id="rId1" xr:uid="{39B2ABBB-5A05-4FFD-A558-E76BDA552570}"/>
    <hyperlink ref="O1:T1" r:id="rId2" display="@alinajimi.finance" xr:uid="{1873FD53-B110-47D1-8304-EF6E471EC3BD}"/>
    <hyperlink ref="G1:I1" r:id="rId3" display="نخبه حساب" xr:uid="{47B18442-B615-4978-A461-D495428B7423}"/>
  </hyperlinks>
  <printOptions horizontalCentered="1"/>
  <pageMargins left="1.1811023622047245" right="0" top="1.1811023622047245" bottom="0" header="1.1811023622047245" footer="0"/>
  <pageSetup paperSize="9" scale="19" orientation="landscape"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0F01C-1A36-466D-90B5-6EAC773EEAE5}">
  <sheetPr>
    <tabColor rgb="FF7030A0"/>
  </sheetPr>
  <dimension ref="A1:F46"/>
  <sheetViews>
    <sheetView rightToLeft="1" tabSelected="1" zoomScale="130" zoomScaleNormal="130" workbookViewId="0">
      <selection activeCell="I13" sqref="I13"/>
    </sheetView>
  </sheetViews>
  <sheetFormatPr defaultRowHeight="14.4"/>
  <cols>
    <col min="1" max="1" width="16.109375" bestFit="1" customWidth="1"/>
    <col min="2" max="2" width="12.88671875" bestFit="1" customWidth="1"/>
    <col min="3" max="3" width="28.6640625" bestFit="1" customWidth="1"/>
    <col min="4" max="4" width="15.33203125" bestFit="1" customWidth="1"/>
    <col min="5" max="5" width="14.88671875" bestFit="1" customWidth="1"/>
    <col min="6" max="6" width="11.88671875" bestFit="1" customWidth="1"/>
  </cols>
  <sheetData>
    <row r="1" spans="1:6" ht="16.2">
      <c r="A1" s="56" t="s">
        <v>39</v>
      </c>
      <c r="B1" s="56"/>
      <c r="C1" s="56"/>
      <c r="D1" s="56"/>
      <c r="E1" s="56"/>
      <c r="F1" s="56"/>
    </row>
    <row r="2" spans="1:6" ht="16.2">
      <c r="A2" s="56" t="s">
        <v>40</v>
      </c>
      <c r="B2" s="56"/>
      <c r="C2" s="56"/>
      <c r="D2" s="56"/>
      <c r="E2" s="56"/>
      <c r="F2" s="56"/>
    </row>
    <row r="3" spans="1:6" ht="16.2">
      <c r="A3" s="5" t="s">
        <v>41</v>
      </c>
      <c r="B3" s="65"/>
      <c r="C3" s="66"/>
      <c r="D3" s="5" t="s">
        <v>42</v>
      </c>
      <c r="E3" s="5"/>
      <c r="F3" s="5"/>
    </row>
    <row r="4" spans="1:6" ht="16.2">
      <c r="A4" s="6" t="s">
        <v>43</v>
      </c>
      <c r="B4" s="57" t="str">
        <f>'محاسبه حقوق و دستمزد'!B3</f>
        <v>کارمند 1</v>
      </c>
      <c r="C4" s="58"/>
      <c r="D4" s="6" t="s">
        <v>44</v>
      </c>
      <c r="E4" s="57"/>
      <c r="F4" s="58"/>
    </row>
    <row r="5" spans="1:6" ht="16.2">
      <c r="A5" s="6" t="s">
        <v>45</v>
      </c>
      <c r="B5" s="57"/>
      <c r="C5" s="58"/>
      <c r="D5" s="6" t="s">
        <v>46</v>
      </c>
      <c r="E5" s="57"/>
      <c r="F5" s="58"/>
    </row>
    <row r="6" spans="1:6" ht="16.2">
      <c r="A6" s="6" t="s">
        <v>47</v>
      </c>
      <c r="B6" s="57"/>
      <c r="C6" s="58"/>
      <c r="D6" s="6" t="s">
        <v>48</v>
      </c>
      <c r="E6" s="57"/>
      <c r="F6" s="58"/>
    </row>
    <row r="7" spans="1:6" ht="16.2">
      <c r="A7" s="6" t="s">
        <v>49</v>
      </c>
      <c r="B7" s="57"/>
      <c r="C7" s="58"/>
      <c r="D7" s="6" t="s">
        <v>50</v>
      </c>
      <c r="E7" s="57">
        <f>'محاسبه حقوق و دستمزد'!K3</f>
        <v>31</v>
      </c>
      <c r="F7" s="58"/>
    </row>
    <row r="8" spans="1:6" ht="16.2">
      <c r="A8" s="6" t="s">
        <v>51</v>
      </c>
      <c r="B8" s="57"/>
      <c r="C8" s="58"/>
      <c r="D8" s="6" t="s">
        <v>52</v>
      </c>
      <c r="E8" s="57"/>
      <c r="F8" s="58"/>
    </row>
    <row r="9" spans="1:6" ht="16.2">
      <c r="A9" s="6"/>
      <c r="B9" s="57"/>
      <c r="C9" s="58"/>
      <c r="D9" s="6" t="s">
        <v>53</v>
      </c>
      <c r="E9" s="57">
        <f>'محاسبه حقوق و دستمزد'!Y3</f>
        <v>10</v>
      </c>
      <c r="F9" s="58"/>
    </row>
    <row r="10" spans="1:6" ht="16.2">
      <c r="A10" s="67" t="s">
        <v>54</v>
      </c>
      <c r="B10" s="68"/>
      <c r="C10" s="68"/>
      <c r="D10" s="68"/>
      <c r="E10" s="68"/>
      <c r="F10" s="69"/>
    </row>
    <row r="11" spans="1:6" ht="16.2">
      <c r="A11" s="65" t="s">
        <v>55</v>
      </c>
      <c r="B11" s="70"/>
      <c r="C11" s="70"/>
      <c r="D11" s="66"/>
      <c r="E11" s="65" t="s">
        <v>56</v>
      </c>
      <c r="F11" s="66"/>
    </row>
    <row r="12" spans="1:6" ht="16.2">
      <c r="A12" s="6" t="s">
        <v>57</v>
      </c>
      <c r="B12" s="7">
        <f>'محاسبه حقوق و دستمزد'!L3</f>
        <v>107373336</v>
      </c>
      <c r="C12" s="8" t="s">
        <v>24</v>
      </c>
      <c r="D12" s="7">
        <f>'محاسبه حقوق و دستمزد'!AC3</f>
        <v>0</v>
      </c>
      <c r="E12" s="9" t="s">
        <v>58</v>
      </c>
      <c r="F12" s="9">
        <f>'محاسبه حقوق و دستمزد'!AG3</f>
        <v>11148322</v>
      </c>
    </row>
    <row r="13" spans="1:6" ht="16.2">
      <c r="A13" s="6" t="s">
        <v>59</v>
      </c>
      <c r="B13" s="7">
        <f>'محاسبه حقوق و دستمزد'!M3</f>
        <v>9272968</v>
      </c>
      <c r="C13" s="9" t="s">
        <v>60</v>
      </c>
      <c r="D13" s="7">
        <f>'محاسبه حقوق و دستمزد'!Z3</f>
        <v>6615441.2005457012</v>
      </c>
      <c r="E13" s="9" t="s">
        <v>61</v>
      </c>
      <c r="F13" s="9">
        <f>'محاسبه حقوق و دستمزد'!AK3</f>
        <v>0</v>
      </c>
    </row>
    <row r="14" spans="1:6" ht="16.2">
      <c r="A14" s="6" t="s">
        <v>62</v>
      </c>
      <c r="B14" s="7">
        <f>'محاسبه حقوق و دستمزد'!AA3</f>
        <v>10</v>
      </c>
      <c r="C14" s="9" t="s">
        <v>63</v>
      </c>
      <c r="D14" s="7">
        <f>'محاسبه حقوق و دستمزد'!X3</f>
        <v>14195311.475409836</v>
      </c>
      <c r="E14" s="9" t="s">
        <v>64</v>
      </c>
      <c r="F14" s="9" t="s">
        <v>65</v>
      </c>
    </row>
    <row r="15" spans="1:6" ht="16.2">
      <c r="A15" s="6" t="s">
        <v>66</v>
      </c>
      <c r="B15" s="7">
        <f>'محاسبه حقوق و دستمزد'!S3</f>
        <v>22000000</v>
      </c>
      <c r="C15" s="9" t="s">
        <v>67</v>
      </c>
      <c r="D15" s="7" t="s">
        <v>65</v>
      </c>
      <c r="E15" s="9" t="s">
        <v>68</v>
      </c>
      <c r="F15" s="9" t="s">
        <v>65</v>
      </c>
    </row>
    <row r="16" spans="1:6" ht="16.2">
      <c r="A16" s="6" t="s">
        <v>69</v>
      </c>
      <c r="B16" s="7">
        <f>'محاسبه حقوق و دستمزد'!R3</f>
        <v>9000000</v>
      </c>
      <c r="C16" s="9" t="s">
        <v>70</v>
      </c>
      <c r="D16" s="7" t="s">
        <v>65</v>
      </c>
      <c r="E16" s="9" t="s">
        <v>71</v>
      </c>
      <c r="F16" s="9" t="s">
        <v>65</v>
      </c>
    </row>
    <row r="17" spans="1:6" ht="16.2">
      <c r="A17" s="6" t="s">
        <v>72</v>
      </c>
      <c r="B17" s="7">
        <f>'محاسبه حقوق و دستمزد'!O3</f>
        <v>5000000</v>
      </c>
      <c r="C17" s="9" t="s">
        <v>73</v>
      </c>
      <c r="D17" s="7">
        <f>'محاسبه حقوق و دستمزد'!AD3</f>
        <v>159261755.2005457</v>
      </c>
      <c r="E17" s="9" t="s">
        <v>74</v>
      </c>
      <c r="F17" s="9" t="s">
        <v>65</v>
      </c>
    </row>
    <row r="18" spans="1:6" ht="16.2">
      <c r="A18" s="6" t="s">
        <v>75</v>
      </c>
      <c r="B18" s="7">
        <f>'محاسبه حقوق و دستمزد'!Q3</f>
        <v>20781936</v>
      </c>
      <c r="C18" s="9" t="s">
        <v>76</v>
      </c>
      <c r="D18" s="7">
        <f>'محاسبه حقوق و دستمزد'!AF3</f>
        <v>168895359.2005457</v>
      </c>
      <c r="E18" s="9" t="s">
        <v>33</v>
      </c>
      <c r="F18" s="9">
        <f>SUM(F12:F17)</f>
        <v>11148322</v>
      </c>
    </row>
    <row r="19" spans="1:6" ht="16.2">
      <c r="A19" s="6" t="s">
        <v>23</v>
      </c>
      <c r="B19" s="7">
        <f>'محاسبه حقوق و دستمزد'!AB3</f>
        <v>800000000</v>
      </c>
      <c r="C19" s="9" t="s">
        <v>77</v>
      </c>
      <c r="D19" s="7" t="s">
        <v>65</v>
      </c>
      <c r="E19" s="9" t="s">
        <v>65</v>
      </c>
      <c r="F19" s="9" t="s">
        <v>65</v>
      </c>
    </row>
    <row r="20" spans="1:6" ht="16.2">
      <c r="A20" s="6" t="s">
        <v>78</v>
      </c>
      <c r="B20" s="7">
        <f>'محاسبه حقوق و دستمزد'!V3</f>
        <v>28390622.950819671</v>
      </c>
      <c r="C20" s="9" t="s">
        <v>79</v>
      </c>
      <c r="D20" s="7">
        <f>'محاسبه حقوق و دستمزد'!AE3</f>
        <v>1022629615.6267751</v>
      </c>
      <c r="E20" s="9" t="s">
        <v>65</v>
      </c>
      <c r="F20" s="9" t="s">
        <v>65</v>
      </c>
    </row>
    <row r="21" spans="1:6">
      <c r="A21" s="59" t="s">
        <v>80</v>
      </c>
      <c r="B21" s="60"/>
      <c r="C21" s="61"/>
      <c r="D21" s="62">
        <f>D20-F18</f>
        <v>1011481293.6267751</v>
      </c>
      <c r="E21" s="63"/>
      <c r="F21" s="64"/>
    </row>
    <row r="22" spans="1:6" ht="16.8">
      <c r="A22" s="10"/>
      <c r="B22" s="10"/>
      <c r="C22" s="10"/>
      <c r="D22" s="10"/>
      <c r="E22" s="10"/>
      <c r="F22" s="10"/>
    </row>
    <row r="23" spans="1:6" ht="16.8">
      <c r="A23" s="11" t="s">
        <v>81</v>
      </c>
      <c r="B23" s="10"/>
      <c r="C23" s="10"/>
      <c r="D23" s="10" t="s">
        <v>82</v>
      </c>
      <c r="E23" s="10"/>
      <c r="F23" s="10"/>
    </row>
    <row r="24" spans="1:6" ht="16.2">
      <c r="A24" s="56" t="s">
        <v>39</v>
      </c>
      <c r="B24" s="56"/>
      <c r="C24" s="56"/>
      <c r="D24" s="56"/>
      <c r="E24" s="56"/>
      <c r="F24" s="56"/>
    </row>
    <row r="25" spans="1:6" ht="16.2">
      <c r="A25" s="56" t="s">
        <v>40</v>
      </c>
      <c r="B25" s="56"/>
      <c r="C25" s="56"/>
      <c r="D25" s="56"/>
      <c r="E25" s="56"/>
      <c r="F25" s="56"/>
    </row>
    <row r="26" spans="1:6" ht="16.2">
      <c r="A26" s="5" t="s">
        <v>41</v>
      </c>
      <c r="B26" s="65"/>
      <c r="C26" s="66"/>
      <c r="D26" s="5" t="s">
        <v>42</v>
      </c>
      <c r="E26" s="5"/>
      <c r="F26" s="5"/>
    </row>
    <row r="27" spans="1:6" ht="16.2">
      <c r="A27" s="6" t="s">
        <v>43</v>
      </c>
      <c r="B27" s="57" t="str">
        <f>'محاسبه حقوق و دستمزد'!B4</f>
        <v>کارمند 2</v>
      </c>
      <c r="C27" s="58"/>
      <c r="D27" s="6" t="s">
        <v>44</v>
      </c>
      <c r="E27" s="57"/>
      <c r="F27" s="58"/>
    </row>
    <row r="28" spans="1:6" ht="16.2">
      <c r="A28" s="6" t="s">
        <v>45</v>
      </c>
      <c r="B28" s="57"/>
      <c r="C28" s="58"/>
      <c r="D28" s="6" t="s">
        <v>46</v>
      </c>
      <c r="E28" s="57"/>
      <c r="F28" s="58"/>
    </row>
    <row r="29" spans="1:6" ht="16.2">
      <c r="A29" s="6" t="s">
        <v>47</v>
      </c>
      <c r="B29" s="57"/>
      <c r="C29" s="58"/>
      <c r="D29" s="6" t="s">
        <v>48</v>
      </c>
      <c r="E29" s="57"/>
      <c r="F29" s="58"/>
    </row>
    <row r="30" spans="1:6" ht="16.2">
      <c r="A30" s="6" t="s">
        <v>49</v>
      </c>
      <c r="B30" s="57"/>
      <c r="C30" s="58"/>
      <c r="D30" s="6" t="s">
        <v>50</v>
      </c>
      <c r="E30" s="57">
        <f>'محاسبه حقوق و دستمزد'!K4</f>
        <v>31</v>
      </c>
      <c r="F30" s="58"/>
    </row>
    <row r="31" spans="1:6" ht="16.2">
      <c r="A31" s="6" t="s">
        <v>51</v>
      </c>
      <c r="B31" s="57"/>
      <c r="C31" s="58"/>
      <c r="D31" s="6" t="s">
        <v>52</v>
      </c>
      <c r="E31" s="57"/>
      <c r="F31" s="58"/>
    </row>
    <row r="32" spans="1:6" ht="16.2">
      <c r="A32" s="6"/>
      <c r="B32" s="57"/>
      <c r="C32" s="58"/>
      <c r="D32" s="6" t="s">
        <v>53</v>
      </c>
      <c r="E32" s="57">
        <f>'محاسبه حقوق و دستمزد'!Y4</f>
        <v>0</v>
      </c>
      <c r="F32" s="58"/>
    </row>
    <row r="33" spans="1:6" ht="16.2">
      <c r="A33" s="67" t="s">
        <v>54</v>
      </c>
      <c r="B33" s="68"/>
      <c r="C33" s="68"/>
      <c r="D33" s="68"/>
      <c r="E33" s="68"/>
      <c r="F33" s="69"/>
    </row>
    <row r="34" spans="1:6" ht="16.2">
      <c r="A34" s="65" t="s">
        <v>55</v>
      </c>
      <c r="B34" s="70"/>
      <c r="C34" s="70"/>
      <c r="D34" s="66"/>
      <c r="E34" s="65" t="s">
        <v>56</v>
      </c>
      <c r="F34" s="66"/>
    </row>
    <row r="35" spans="1:6" ht="16.2">
      <c r="A35" s="6" t="s">
        <v>57</v>
      </c>
      <c r="B35" s="7">
        <f>'محاسبه حقوق و دستمزد'!L4</f>
        <v>107373336</v>
      </c>
      <c r="C35" s="8" t="s">
        <v>24</v>
      </c>
      <c r="D35" s="7">
        <f>'محاسبه حقوق و دستمزد'!AC4</f>
        <v>0</v>
      </c>
      <c r="E35" s="9" t="s">
        <v>58</v>
      </c>
      <c r="F35" s="9">
        <f>'محاسبه حقوق و دستمزد'!AG4</f>
        <v>10036133</v>
      </c>
    </row>
    <row r="36" spans="1:6" ht="16.2">
      <c r="A36" s="6" t="s">
        <v>59</v>
      </c>
      <c r="B36" s="7">
        <f>'محاسبه حقوق و دستمزد'!M4</f>
        <v>0</v>
      </c>
      <c r="C36" s="9" t="s">
        <v>60</v>
      </c>
      <c r="D36" s="7">
        <f>'محاسبه حقوق و دستمزد'!Z4</f>
        <v>0</v>
      </c>
      <c r="E36" s="9" t="s">
        <v>61</v>
      </c>
      <c r="F36" s="9">
        <f>'محاسبه حقوق و دستمزد'!AK4</f>
        <v>0</v>
      </c>
    </row>
    <row r="37" spans="1:6" ht="16.2">
      <c r="A37" s="6" t="s">
        <v>62</v>
      </c>
      <c r="B37" s="7">
        <f>'محاسبه حقوق و دستمزد'!AA4</f>
        <v>0</v>
      </c>
      <c r="C37" s="9" t="s">
        <v>63</v>
      </c>
      <c r="D37" s="7">
        <f>'محاسبه حقوق و دستمزد'!X4</f>
        <v>0</v>
      </c>
      <c r="E37" s="9" t="s">
        <v>64</v>
      </c>
      <c r="F37" s="9" t="s">
        <v>65</v>
      </c>
    </row>
    <row r="38" spans="1:6" ht="16.2">
      <c r="A38" s="6" t="s">
        <v>66</v>
      </c>
      <c r="B38" s="7">
        <f>'محاسبه حقوق و دستمزد'!S4</f>
        <v>22000000</v>
      </c>
      <c r="C38" s="9" t="s">
        <v>67</v>
      </c>
      <c r="D38" s="7" t="s">
        <v>65</v>
      </c>
      <c r="E38" s="9" t="s">
        <v>68</v>
      </c>
      <c r="F38" s="9" t="s">
        <v>65</v>
      </c>
    </row>
    <row r="39" spans="1:6" ht="16.2">
      <c r="A39" s="6" t="s">
        <v>69</v>
      </c>
      <c r="B39" s="7">
        <f>'محاسبه حقوق و دستمزد'!R4</f>
        <v>9000000</v>
      </c>
      <c r="C39" s="9" t="s">
        <v>70</v>
      </c>
      <c r="D39" s="7" t="s">
        <v>65</v>
      </c>
      <c r="E39" s="9" t="s">
        <v>71</v>
      </c>
      <c r="F39" s="9" t="s">
        <v>65</v>
      </c>
    </row>
    <row r="40" spans="1:6" ht="16.2">
      <c r="A40" s="6" t="s">
        <v>72</v>
      </c>
      <c r="B40" s="7">
        <f>'محاسبه حقوق و دستمزد'!O4</f>
        <v>5000000</v>
      </c>
      <c r="C40" s="9" t="s">
        <v>73</v>
      </c>
      <c r="D40" s="7">
        <f>'محاسبه حقوق و دستمزد'!AD4</f>
        <v>143373336</v>
      </c>
      <c r="E40" s="9" t="s">
        <v>74</v>
      </c>
      <c r="F40" s="9" t="s">
        <v>65</v>
      </c>
    </row>
    <row r="41" spans="1:6" ht="16.2">
      <c r="A41" s="6" t="s">
        <v>75</v>
      </c>
      <c r="B41" s="7">
        <f>'محاسبه حقوق و دستمزد'!Q4</f>
        <v>31172904</v>
      </c>
      <c r="C41" s="9" t="s">
        <v>76</v>
      </c>
      <c r="D41" s="7">
        <f>'محاسبه حقوق و دستمزد'!AF4</f>
        <v>164510107</v>
      </c>
      <c r="E41" s="9" t="s">
        <v>33</v>
      </c>
      <c r="F41" s="9">
        <f>SUM(F35:F40)</f>
        <v>10036133</v>
      </c>
    </row>
    <row r="42" spans="1:6" ht="16.2">
      <c r="A42" s="6" t="s">
        <v>23</v>
      </c>
      <c r="B42" s="7">
        <f>'محاسبه حقوق و دستمزد'!AB4</f>
        <v>0</v>
      </c>
      <c r="C42" s="9" t="s">
        <v>77</v>
      </c>
      <c r="D42" s="7" t="s">
        <v>65</v>
      </c>
      <c r="E42" s="9" t="s">
        <v>65</v>
      </c>
      <c r="F42" s="9" t="s">
        <v>65</v>
      </c>
    </row>
    <row r="43" spans="1:6" ht="16.2">
      <c r="A43" s="6" t="s">
        <v>78</v>
      </c>
      <c r="B43" s="7">
        <f>'محاسبه حقوق و دستمزد'!V4</f>
        <v>0</v>
      </c>
      <c r="C43" s="9" t="s">
        <v>79</v>
      </c>
      <c r="D43" s="7">
        <f>'محاسبه حقوق و دستمزد'!AE4</f>
        <v>174546240</v>
      </c>
      <c r="E43" s="9" t="s">
        <v>65</v>
      </c>
      <c r="F43" s="9" t="s">
        <v>65</v>
      </c>
    </row>
    <row r="44" spans="1:6">
      <c r="A44" s="59" t="s">
        <v>80</v>
      </c>
      <c r="B44" s="60"/>
      <c r="C44" s="61"/>
      <c r="D44" s="62">
        <f>D43-F41</f>
        <v>164510107</v>
      </c>
      <c r="E44" s="63"/>
      <c r="F44" s="64"/>
    </row>
    <row r="45" spans="1:6" ht="16.8">
      <c r="A45" s="10"/>
      <c r="B45" s="10"/>
      <c r="C45" s="10"/>
      <c r="D45" s="10"/>
      <c r="E45" s="10"/>
      <c r="F45" s="10"/>
    </row>
    <row r="46" spans="1:6" ht="16.8">
      <c r="A46" s="11" t="s">
        <v>81</v>
      </c>
      <c r="B46" s="10"/>
      <c r="C46" s="10"/>
      <c r="D46" s="10" t="s">
        <v>82</v>
      </c>
      <c r="E46" s="10"/>
      <c r="F46" s="10"/>
    </row>
  </sheetData>
  <mergeCells count="40">
    <mergeCell ref="A24:F24"/>
    <mergeCell ref="A11:D11"/>
    <mergeCell ref="E11:F11"/>
    <mergeCell ref="A10:F10"/>
    <mergeCell ref="B26:C26"/>
    <mergeCell ref="A25:F25"/>
    <mergeCell ref="B27:C27"/>
    <mergeCell ref="B28:C28"/>
    <mergeCell ref="E28:F28"/>
    <mergeCell ref="E27:F27"/>
    <mergeCell ref="B32:C32"/>
    <mergeCell ref="E32:F32"/>
    <mergeCell ref="B29:C29"/>
    <mergeCell ref="E29:F29"/>
    <mergeCell ref="B30:C30"/>
    <mergeCell ref="E30:F30"/>
    <mergeCell ref="B31:C31"/>
    <mergeCell ref="E31:F31"/>
    <mergeCell ref="A33:F33"/>
    <mergeCell ref="A34:D34"/>
    <mergeCell ref="E34:F34"/>
    <mergeCell ref="A44:C44"/>
    <mergeCell ref="D44:F44"/>
    <mergeCell ref="E9:F9"/>
    <mergeCell ref="A21:C21"/>
    <mergeCell ref="D21:F21"/>
    <mergeCell ref="B4:C4"/>
    <mergeCell ref="B3:C3"/>
    <mergeCell ref="B5:C5"/>
    <mergeCell ref="B6:C6"/>
    <mergeCell ref="B7:C7"/>
    <mergeCell ref="B8:C8"/>
    <mergeCell ref="B9:C9"/>
    <mergeCell ref="E4:F4"/>
    <mergeCell ref="E8:F8"/>
    <mergeCell ref="A1:F1"/>
    <mergeCell ref="A2:F2"/>
    <mergeCell ref="E5:F5"/>
    <mergeCell ref="E6:F6"/>
    <mergeCell ref="E7:F7"/>
  </mergeCells>
  <pageMargins left="0.23622047244094491" right="3.937007874015748E-2" top="0.15748031496062992" bottom="0.15748031496062992" header="0.31496062992125984" footer="0.11811023622047245"/>
  <pageSetup paperSize="1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راهنما</vt:lpstr>
      <vt:lpstr>محاسبه حقوق و دستمزد</vt:lpstr>
      <vt:lpstr>فیش حقوقی فروردین</vt:lpstr>
      <vt:lpstr>'محاسبه حقوق و دستمزد'!Print_Area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@shenasname</dc:creator>
  <cp:keywords/>
  <dc:description/>
  <cp:lastModifiedBy>Asus</cp:lastModifiedBy>
  <cp:revision/>
  <dcterms:created xsi:type="dcterms:W3CDTF">2016-11-13T04:27:56Z</dcterms:created>
  <dcterms:modified xsi:type="dcterms:W3CDTF">2025-04-17T08:05:36Z</dcterms:modified>
  <cp:category/>
  <cp:contentStatus/>
</cp:coreProperties>
</file>